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0" windowWidth="15195" windowHeight="7860" activeTab="6"/>
  </bookViews>
  <sheets>
    <sheet name="2020" sheetId="1" r:id="rId1"/>
    <sheet name="CK -TH Q1" sheetId="2" r:id="rId2"/>
    <sheet name="CK- TH Q2" sheetId="3" r:id="rId3"/>
    <sheet name="6 thang 2020" sheetId="4" r:id="rId4"/>
    <sheet name="CK Q3" sheetId="5" r:id="rId5"/>
    <sheet name="CK Q4" sheetId="6" r:id="rId6"/>
    <sheet name="nam" sheetId="7" r:id="rId7"/>
  </sheets>
  <definedNames/>
  <calcPr fullCalcOnLoad="1"/>
</workbook>
</file>

<file path=xl/sharedStrings.xml><?xml version="1.0" encoding="utf-8"?>
<sst xmlns="http://schemas.openxmlformats.org/spreadsheetml/2006/main" count="1107" uniqueCount="196">
  <si>
    <t>I</t>
  </si>
  <si>
    <t>II</t>
  </si>
  <si>
    <t>Số TT</t>
  </si>
  <si>
    <t>Nội dung</t>
  </si>
  <si>
    <t>Chi quản lý hành chính</t>
  </si>
  <si>
    <t>Kinh phí không thực hiện chế độ tự chủ</t>
  </si>
  <si>
    <t>Kinh phí nhiệm vụ không thường xuyên</t>
  </si>
  <si>
    <t>Chi sự nghiệp giáo dục, đào tạo, dạy nghề</t>
  </si>
  <si>
    <t>Tổng số thu, chi, nộp ngân sách phí, lệ phí</t>
  </si>
  <si>
    <t>Số thu phí, lệ phí</t>
  </si>
  <si>
    <t>Lệ phí</t>
  </si>
  <si>
    <t>Lệ phí A</t>
  </si>
  <si>
    <t>Lệ phí B</t>
  </si>
  <si>
    <t>Phí</t>
  </si>
  <si>
    <t>Phí A</t>
  </si>
  <si>
    <t>Phí B</t>
  </si>
  <si>
    <t>Chi từ nguồn thu phí được để lại</t>
  </si>
  <si>
    <t>a</t>
  </si>
  <si>
    <t>Kinh phí nhiệm vụ thường xuyên</t>
  </si>
  <si>
    <t>b</t>
  </si>
  <si>
    <t>Kinh phí thực hiện chế độ tự chủ</t>
  </si>
  <si>
    <t>Số phí, lệ phí nộp NSNN</t>
  </si>
  <si>
    <t>Dự toán chi ngân sách nhà nước</t>
  </si>
  <si>
    <t>(Dùng cho đơn vị sử dụng ngân sách)</t>
  </si>
  <si>
    <t>Dự toán được giao</t>
  </si>
  <si>
    <t>(Dùng cho đơn vị dự toán cấp trên và đơn vị dự toán sử dụng ngân sách nhà nước)</t>
  </si>
  <si>
    <t>Dự toán năm</t>
  </si>
  <si>
    <t>…………..</t>
  </si>
  <si>
    <t>Chi sự nghiệp…………..</t>
  </si>
  <si>
    <t>Thủ trưởng đơn vị</t>
  </si>
  <si>
    <t>Lương  ngạch bậc được duyệt</t>
  </si>
  <si>
    <t>Lương hợp đồng dài hạn</t>
  </si>
  <si>
    <t>Chức vụ</t>
  </si>
  <si>
    <t>Ưu đãi</t>
  </si>
  <si>
    <t>Trách nhiệm</t>
  </si>
  <si>
    <t>Tiền lương</t>
  </si>
  <si>
    <t>Phụ cấp lương</t>
  </si>
  <si>
    <t>Phúc lợi tập thể</t>
  </si>
  <si>
    <t xml:space="preserve">Phép </t>
  </si>
  <si>
    <t>Nước uống GV</t>
  </si>
  <si>
    <t>Các khoản đóng góp</t>
  </si>
  <si>
    <t>Bảo hiểm xã hội</t>
  </si>
  <si>
    <t>Bảo hiểm y tế</t>
  </si>
  <si>
    <t>Kinh phí công đoàn</t>
  </si>
  <si>
    <t xml:space="preserve">Bảo hiểm thất nghiệp </t>
  </si>
  <si>
    <t>Chi thanh toán dịch vụ CC</t>
  </si>
  <si>
    <t>Thanh toán tiền điện</t>
  </si>
  <si>
    <t>Thanh toán tiền nước sạch</t>
  </si>
  <si>
    <t>Thanh toán tiền VSMT</t>
  </si>
  <si>
    <t>Vật tư văn phòng</t>
  </si>
  <si>
    <t>Văn phòng phẩm</t>
  </si>
  <si>
    <t>Mua sắm CCDC</t>
  </si>
  <si>
    <t xml:space="preserve">VTVP khác </t>
  </si>
  <si>
    <t>TT.T truyền. LL</t>
  </si>
  <si>
    <t>CP điện thoại</t>
  </si>
  <si>
    <t>Sách báo, Tạp chí TV</t>
  </si>
  <si>
    <t>Mạng Iternet</t>
  </si>
  <si>
    <t>Hội nghị</t>
  </si>
  <si>
    <t>Thuê mướn khác PV hội nghị</t>
  </si>
  <si>
    <t>CP khác</t>
  </si>
  <si>
    <t>Công tác phí</t>
  </si>
  <si>
    <t>Tiền vé máy bay tàu xe</t>
  </si>
  <si>
    <t>PC công tác phí</t>
  </si>
  <si>
    <t>Tiền thuê phòng ngủ</t>
  </si>
  <si>
    <t>Khoán công tác phí</t>
  </si>
  <si>
    <t>Chi khác</t>
  </si>
  <si>
    <t>Chi SCTX TSCĐ</t>
  </si>
  <si>
    <t>Thiết bị tin học</t>
  </si>
  <si>
    <t>Sửa chữa máy phô tô</t>
  </si>
  <si>
    <t xml:space="preserve">: Đường điện cấp thoát nước </t>
  </si>
  <si>
    <t>Chi phí nghiệp vụ chuyên môn</t>
  </si>
  <si>
    <t xml:space="preserve">: Vật tư chuyên môn </t>
  </si>
  <si>
    <t>: Đồng phục thể dục</t>
  </si>
  <si>
    <t xml:space="preserve">: Thưởng học sinh </t>
  </si>
  <si>
    <t>: Tập huấn ngắn hạn</t>
  </si>
  <si>
    <t xml:space="preserve">: Chi các hội thi của học sinh </t>
  </si>
  <si>
    <t xml:space="preserve">: Chi khác </t>
  </si>
  <si>
    <t xml:space="preserve">: Trích lập quỹ khen thưởng </t>
  </si>
  <si>
    <t xml:space="preserve">Phụ cấp thêm giờ </t>
  </si>
  <si>
    <t>Các khoản thanh toán cho cá nhân</t>
  </si>
  <si>
    <t>Đi học</t>
  </si>
  <si>
    <t>Chi nhiệp vụ chuyên môn</t>
  </si>
  <si>
    <t xml:space="preserve">Đồng phục bảo vệ </t>
  </si>
  <si>
    <t>HTCPHT</t>
  </si>
  <si>
    <t>Chi tiền 20/11</t>
  </si>
  <si>
    <t>6750</t>
  </si>
  <si>
    <t>Chi phí thuê mướn</t>
  </si>
  <si>
    <t>ĐV tính: đồng</t>
  </si>
  <si>
    <t>Đvt:  Đồng</t>
  </si>
  <si>
    <t>Chương: 622</t>
  </si>
  <si>
    <t xml:space="preserve">                                    Thủ trưởng đơn vị</t>
  </si>
  <si>
    <t>Khoán CP điện thoại</t>
  </si>
  <si>
    <t>: Phí lệ phí</t>
  </si>
  <si>
    <t xml:space="preserve">: Các tài sản và công trình hạ tầng cơ sở khác </t>
  </si>
  <si>
    <t>: Sách tài liệu, chế độ dùng cho công tác chuyên môn</t>
  </si>
  <si>
    <t xml:space="preserve">Phụ cấp thâm niên </t>
  </si>
  <si>
    <t>Kinh phí cải cách tiền lương</t>
  </si>
  <si>
    <t xml:space="preserve">Thuê lao động trong nước </t>
  </si>
  <si>
    <t xml:space="preserve">Chi phí thuê  mướn khác </t>
  </si>
  <si>
    <t>Phụ cấp khác</t>
  </si>
  <si>
    <t>Tài sản và các thiệt bị chuyên dùng</t>
  </si>
  <si>
    <t>Nhà cửa</t>
  </si>
  <si>
    <t>Biểu số 2 - Ban hành kèm theo Thông tư số 90 ngày 28 tháng 9 năm 2018 của Bộ Tài chính</t>
  </si>
  <si>
    <t xml:space="preserve">                                      Ngày      tháng       năm 2020</t>
  </si>
  <si>
    <t>Biểu số 3 - Ban hành kèm theo Thông tư số 90 ngày 28 tháng 9 năm 2018 của Bộ Tài chính</t>
  </si>
  <si>
    <t xml:space="preserve">CỘNG HÒA XÃ HỘI CHỦ NGHĨA VIỆT NAM </t>
  </si>
  <si>
    <t>Ước thực hiện/Dự toán năm ( Tỷ lệ %)</t>
  </si>
  <si>
    <t>Ước thực hiện quý này so với cùng kỳ năm trước ( Tỷ lệ %)</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</si>
  <si>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</si>
  <si>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</si>
  <si>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DỰ TOÁN THU, CHI NGÂN SÁCH NHÀ NƯỚC NĂM 2020</t>
  </si>
  <si>
    <r>
      <t>Độc lập - Tự do - Hạnh phúc</t>
    </r>
    <r>
      <rPr>
        <b/>
        <sz val="11"/>
        <rFont val="Times New Roman"/>
        <family val="1"/>
      </rPr>
      <t xml:space="preserve"> </t>
    </r>
  </si>
  <si>
    <t>CÔNG KHAI THỰC HIỆN DỰ TOÁN THU - CHI NGÂN SÁCH QUÝ I/2020</t>
  </si>
  <si>
    <t>( Chữ ký, dấu)</t>
  </si>
  <si>
    <t>Đơn vị: Trường Tiểu học An Bình B</t>
  </si>
  <si>
    <t xml:space="preserve">Kinh phí cải cách tiền lương </t>
  </si>
  <si>
    <t xml:space="preserve">In, mua tài liệu </t>
  </si>
  <si>
    <t xml:space="preserve">Thuê mướn phương tiện vận chuyển </t>
  </si>
  <si>
    <t xml:space="preserve">Mua  sắm TS dùng cho công tác CM </t>
  </si>
  <si>
    <t xml:space="preserve">Mua máy laptop, máy </t>
  </si>
  <si>
    <t>Mua máy bơm</t>
  </si>
  <si>
    <t xml:space="preserve">Làm thư viện xanh </t>
  </si>
  <si>
    <t>Làm lưới che nắng vườn trường</t>
  </si>
  <si>
    <t xml:space="preserve">Chi tiếp khách </t>
  </si>
  <si>
    <t>Hỗ trợ BV, PV,TV, TB</t>
  </si>
  <si>
    <t xml:space="preserve">Sửa chữa phòng cháy chữa cháy </t>
  </si>
  <si>
    <t xml:space="preserve">Tiền tết </t>
  </si>
  <si>
    <t xml:space="preserve"> Chi mua sắm tài sản phụ vụ CM </t>
  </si>
  <si>
    <t xml:space="preserve">Mua máy chiếu </t>
  </si>
  <si>
    <t xml:space="preserve">Chi khác </t>
  </si>
  <si>
    <t>Tiết kiệm 10%</t>
  </si>
  <si>
    <t xml:space="preserve">Khác </t>
  </si>
  <si>
    <t xml:space="preserve">Lê Thị Lan </t>
  </si>
  <si>
    <t>Ngày 01 tháng 4 năm 2020</t>
  </si>
  <si>
    <t>Chênh lệch ( Tăng thu nhập)</t>
  </si>
  <si>
    <t>CÔNG KHAI THỰC HIỆN DỰ TOÁN THU - CHI NGÂN SÁCH QUÝ II/2020</t>
  </si>
  <si>
    <r>
      <t xml:space="preserve">       Trường Tiểu học An Bình B công khai tình hình thực hiện dự toán thu-chi ngân sách quý 1 </t>
    </r>
    <r>
      <rPr>
        <sz val="13"/>
        <color indexed="8"/>
        <rFont val="Times New Roman"/>
        <family val="1"/>
      </rPr>
      <t>như sau:</t>
    </r>
  </si>
  <si>
    <t xml:space="preserve">Khắc phụ hậu quả thiên tai do 
các ĐV dự toán </t>
  </si>
  <si>
    <t xml:space="preserve">Tiền công trả cho người LĐTX
 theo việc làm </t>
  </si>
  <si>
    <t xml:space="preserve">Chi mua bảo hiểm tài sàn  phuuơng tiện
 của các đơn vị dự toán </t>
  </si>
  <si>
    <r>
      <t xml:space="preserve">       Trường Tiểu học An Bình B công khai tình hình thực hiện dự toán thu-chi ngân sách quý II </t>
    </r>
    <r>
      <rPr>
        <sz val="13"/>
        <color indexed="8"/>
        <rFont val="Times New Roman"/>
        <family val="1"/>
      </rPr>
      <t>như sau:</t>
    </r>
  </si>
  <si>
    <t>Ước thực hiện quý I/2020</t>
  </si>
  <si>
    <t>CÔNG KHAI THỰC HIỆN DỰ TOÁN THU - CHI NGÂN SÁCH 
6 THÁNG NĂM 2020</t>
  </si>
  <si>
    <t>Ước thực hiện 6 tháng năm 2020</t>
  </si>
  <si>
    <r>
      <t xml:space="preserve">       Trường Tiểu học An Bình B công khai tình hình thực hiện dự toán thu-chi ngân sách 6 tháng năm 2020 </t>
    </r>
    <r>
      <rPr>
        <sz val="13"/>
        <color indexed="8"/>
        <rFont val="Times New Roman"/>
        <family val="1"/>
      </rPr>
      <t>như sau:</t>
    </r>
  </si>
  <si>
    <t>Ước thực hiện quý II/2020</t>
  </si>
  <si>
    <t>CÔNG KHAI THỰC HIỆN DỰ TOÁN THU - CHI NGÂN SÁCH QUÝ III/2020</t>
  </si>
  <si>
    <t>Ước thực hiện quý III/2020</t>
  </si>
  <si>
    <r>
      <t xml:space="preserve">       Trường Tiểu học An Bình B công khai tình hình thực hiện dự toán thu-chi ngân sách quý III </t>
    </r>
    <r>
      <rPr>
        <sz val="13"/>
        <color indexed="8"/>
        <rFont val="Times New Roman"/>
        <family val="1"/>
      </rPr>
      <t>như sau:</t>
    </r>
  </si>
  <si>
    <t>CÔNG KHAI THỰC HIỆN DỰ TOÁN THU - CHI NGÂN SÁCH QUÝ IV/2020</t>
  </si>
  <si>
    <t>Ngày 03  tháng 7 năm 2020</t>
  </si>
  <si>
    <t>An Bình, ngày  01    tháng  4   năm 2020</t>
  </si>
  <si>
    <t>An Bình, ngày  03    tháng  7   năm 2020</t>
  </si>
  <si>
    <t>An Bình, ngày  13    tháng  7   năm 2020</t>
  </si>
  <si>
    <t>Ngày 13 tháng 7 năm 2020</t>
  </si>
  <si>
    <t>An Bình, ngày  01    tháng  10   năm 2020</t>
  </si>
  <si>
    <t>Ngày 01 tháng 10 năm 2020</t>
  </si>
  <si>
    <t>Văn phòng phẩm, mực in</t>
  </si>
  <si>
    <t xml:space="preserve">Vật tư chuyên môn </t>
  </si>
  <si>
    <t xml:space="preserve"> Đồng phục thể dục</t>
  </si>
  <si>
    <t>Sách tài liệu, chế độ dùng cho công tác chuyên môn</t>
  </si>
  <si>
    <t xml:space="preserve">Thưởng học sinh </t>
  </si>
  <si>
    <t>Tập huấn ngắn hạn</t>
  </si>
  <si>
    <t xml:space="preserve">Chi các hội thi của học sinh </t>
  </si>
  <si>
    <t xml:space="preserve"> Chi khác </t>
  </si>
  <si>
    <t>Phí lệ phí</t>
  </si>
  <si>
    <t xml:space="preserve">Trích lập quỹ khen thưởng </t>
  </si>
  <si>
    <t xml:space="preserve">Các tài sản và công trình hạ tầng cơ sở khác </t>
  </si>
  <si>
    <t xml:space="preserve"> Đường điện cấp thoát nước </t>
  </si>
  <si>
    <t>Đơn vị: Trường tiểu học An Bình B</t>
  </si>
  <si>
    <t xml:space="preserve">                                    Lê Thị Lan </t>
  </si>
  <si>
    <t>GIẢM DỰ TOÁN CHI NGÂN SÁCH NHÀ NƯỚC NĂM 2020</t>
  </si>
  <si>
    <t>ĐIỀU CHỈNH BỔ SUNG DỰ TOÁN CHI NGÂN SÁCH NHÀ NƯỚC NĂM 2020</t>
  </si>
  <si>
    <t xml:space="preserve">                                         Đặng Thị Mơ </t>
  </si>
  <si>
    <t xml:space="preserve">                                      Ngày 15   tháng   12   năm 2020</t>
  </si>
  <si>
    <t>Ước thực hiện quý IV/2020</t>
  </si>
  <si>
    <t xml:space="preserve">Tiền thưởng </t>
  </si>
  <si>
    <t xml:space="preserve">Thưởng thường xuyên theo quy định </t>
  </si>
  <si>
    <t xml:space="preserve">Tài sản và thiết bị chuyên dùng </t>
  </si>
  <si>
    <t xml:space="preserve">Các thiết bị công nghệ thông tin </t>
  </si>
  <si>
    <t>Chi khác: ( Dịch vụ căn tin)</t>
  </si>
  <si>
    <t xml:space="preserve">Căn tin </t>
  </si>
  <si>
    <t>CÔNG KHAI THỰC HIỆN DỰ TOÁN THU - CHI NGÂN SÁCH NĂM 2020</t>
  </si>
  <si>
    <t>Ngày 03  tháng 01  năm 2021</t>
  </si>
  <si>
    <t>An Bình, ngày  03    tháng  01   năm 2021</t>
  </si>
  <si>
    <t xml:space="preserve">Đặng Thị Mơ </t>
  </si>
  <si>
    <r>
      <t xml:space="preserve">       Trường Tiểu học An Bình B công khai tình hình thực hiện dự toán thu-chi ngân sách quý IV </t>
    </r>
    <r>
      <rPr>
        <sz val="13"/>
        <color indexed="8"/>
        <rFont val="Times New Roman"/>
        <family val="1"/>
      </rPr>
      <t>như sau:</t>
    </r>
  </si>
  <si>
    <t>Căn tin (10% nộp thuế, 40% CLTL,
 50% Lễ 20/11)</t>
  </si>
  <si>
    <t>Ngày 29 tháng 01 năm 2021</t>
  </si>
  <si>
    <t>An Bình, ngày  29    tháng  01   năm 2021</t>
  </si>
  <si>
    <r>
      <t xml:space="preserve">       Trường Tiểu học An Bình B công khai tình hình thực hiện dự toán thu-chi ngân sách năm  </t>
    </r>
    <r>
      <rPr>
        <sz val="13"/>
        <color indexed="8"/>
        <rFont val="Times New Roman"/>
        <family val="1"/>
      </rPr>
      <t>như sau:</t>
    </r>
  </si>
  <si>
    <t>Ước thực hiện năm 2020</t>
  </si>
  <si>
    <t>(Kèm theo Quyết định số 01/QĐ- ABB ngày 14/01/2020 của trường TH An Bình B)</t>
  </si>
  <si>
    <t xml:space="preserve">                                   Đã ký </t>
  </si>
  <si>
    <t>(Kèm theo Quyết định số  13/QĐ- ABB ngày 14/12/2020 của trường TH An Bình B)</t>
  </si>
  <si>
    <t>(Kèm theo Quyết định số  09/QĐ- ABB ngày  22/09/2020 của trường TH An Bình B)</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</si>
</sst>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 _đ_-;\-* #,##0.00\ _đ_-;_-* &quot;-&quot;??\ _đ_-;_-@_-"/>
    <numFmt numFmtId="179" formatCode="_-* #,##0\ _đ_-;\-* #,##0\ _đ_-;_-* &quot;-&quot;??\ _đ_-;_-@_-"/>
    <numFmt numFmtId="180" formatCode="_(* #,##0.000_);_(* \(#,##0.000\);_(* &quot;-&quot;??_);_(@_)"/>
    <numFmt numFmtId="181" formatCode="_(* #,##0.0000_);_(* \(#,##0.0000\);_(* &quot;-&quot;??_);_(@_)"/>
    <numFmt numFmtId="182" formatCode="_(* #,##0.00000_);_(* \(#,##0.00000\);_(* &quot;-&quot;??_);_(@_)"/>
    <numFmt numFmtId="183" formatCode="_(* #,##0.000000_);_(* \(#,##0.000000\);_(* &quot;-&quot;??_);_(@_)"/>
    <numFmt numFmtId="184" formatCode="_(* #,##0.0000000_);_(* \(#,##0.0000000\);_(* &quot;-&quot;??_);_(@_)"/>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00%"/>
    <numFmt numFmtId="193" formatCode="_-* #,##0.0\ _đ_-;\-* #,##0.0\ _đ_-;_-* &quot;-&quot;??\ _đ_-;_-@_-"/>
    <numFmt numFmtId="194" formatCode="_-* #,##0\ _₫_-;\-* #,##0\ _₫_-;_-* &quot;-&quot;??\ _₫_-;_-@_-"/>
    <numFmt numFmtId="195" formatCode="0.0000%"/>
    <numFmt numFmtId="196" formatCode="0.00000%"/>
    <numFmt numFmtId="197" formatCode="0.000000%"/>
  </numFmts>
  <fonts count="76">
    <font>
      <sz val="12"/>
      <name val="Times New Roman"/>
      <family val="0"/>
    </font>
    <font>
      <b/>
      <sz val="12"/>
      <name val="Times New Roman"/>
      <family val="1"/>
    </font>
    <font>
      <b/>
      <sz val="14"/>
      <name val="Times New Roman"/>
      <family val="1"/>
    </font>
    <font>
      <sz val="13"/>
      <name val="Times New Roman"/>
      <family val="1"/>
    </font>
    <font>
      <b/>
      <sz val="13"/>
      <name val="Times New Roman"/>
      <family val="1"/>
    </font>
    <font>
      <sz val="14"/>
      <name val="Times New Roman"/>
      <family val="1"/>
    </font>
    <font>
      <sz val="8"/>
      <color indexed="8"/>
      <name val="Arial"/>
      <family val="2"/>
    </font>
    <font>
      <i/>
      <sz val="14"/>
      <name val="Times New Roman"/>
      <family val="1"/>
    </font>
    <font>
      <i/>
      <sz val="10"/>
      <name val="Times New Roman"/>
      <family val="1"/>
    </font>
    <font>
      <sz val="11"/>
      <name val="Times New Roman"/>
      <family val="1"/>
    </font>
    <font>
      <b/>
      <sz val="11"/>
      <name val="Times New Roman"/>
      <family val="1"/>
    </font>
    <font>
      <i/>
      <sz val="11"/>
      <name val="Times New Roman"/>
      <family val="1"/>
    </font>
    <font>
      <b/>
      <u val="single"/>
      <sz val="11"/>
      <name val="Times New Roman"/>
      <family val="1"/>
    </font>
    <font>
      <sz val="11"/>
      <color indexed="8"/>
      <name val="Times New Roman"/>
      <family val="1"/>
    </font>
    <font>
      <b/>
      <i/>
      <sz val="11"/>
      <name val="Times New Roman"/>
      <family val="1"/>
    </font>
    <font>
      <b/>
      <u val="singleAccounting"/>
      <sz val="11"/>
      <name val="Times New Roman"/>
      <family val="1"/>
    </font>
    <font>
      <sz val="13"/>
      <color indexed="8"/>
      <name val="Times New Roman"/>
      <family val="1"/>
    </font>
    <font>
      <b/>
      <u val="single"/>
      <sz val="13"/>
      <name val="Times New Roman"/>
      <family val="1"/>
    </font>
    <font>
      <b/>
      <sz val="11"/>
      <color indexed="8"/>
      <name val="Times New Roman"/>
      <family val="1"/>
    </font>
    <font>
      <b/>
      <u val="single"/>
      <sz val="10"/>
      <name val="Times New Roman"/>
      <family val="1"/>
    </font>
    <font>
      <b/>
      <sz val="16"/>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2"/>
      <color indexed="10"/>
      <name val="Times New Roman"/>
      <family val="1"/>
    </font>
    <font>
      <sz val="13"/>
      <color indexed="10"/>
      <name val="Times New Roman"/>
      <family val="1"/>
    </font>
    <font>
      <b/>
      <sz val="11"/>
      <color indexed="10"/>
      <name val="Times New Roman"/>
      <family val="1"/>
    </font>
    <font>
      <b/>
      <sz val="13"/>
      <color indexed="10"/>
      <name val="Times New Roman"/>
      <family val="1"/>
    </font>
    <font>
      <b/>
      <u val="single"/>
      <sz val="13"/>
      <color indexed="10"/>
      <name val="Times New Roman"/>
      <family val="1"/>
    </font>
    <font>
      <b/>
      <i/>
      <sz val="11"/>
      <color indexed="10"/>
      <name val="Times New Roman"/>
      <family val="1"/>
    </font>
    <font>
      <b/>
      <sz val="13"/>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2"/>
      <color rgb="FFFF0000"/>
      <name val="Times New Roman"/>
      <family val="1"/>
    </font>
    <font>
      <sz val="13"/>
      <color rgb="FFFF0000"/>
      <name val="Times New Roman"/>
      <family val="1"/>
    </font>
    <font>
      <b/>
      <sz val="11"/>
      <color rgb="FFFF0000"/>
      <name val="Times New Roman"/>
      <family val="1"/>
    </font>
    <font>
      <b/>
      <sz val="13"/>
      <color rgb="FFFF0000"/>
      <name val="Times New Roman"/>
      <family val="1"/>
    </font>
    <font>
      <b/>
      <u val="single"/>
      <sz val="13"/>
      <color rgb="FFFF0000"/>
      <name val="Times New Roman"/>
      <family val="1"/>
    </font>
    <font>
      <b/>
      <i/>
      <sz val="11"/>
      <color rgb="FFFF0000"/>
      <name val="Times New Roman"/>
      <family val="1"/>
    </font>
    <font>
      <b/>
      <sz val="13"/>
      <color theme="1"/>
      <name val="Times New Roman"/>
      <family val="1"/>
    </font>
    <font>
      <sz val="12"/>
      <color theme="1"/>
      <name val="Times New Roman"/>
      <family val="1"/>
    </font>
    <font>
      <sz val="11"/>
      <color theme="1"/>
      <name val="Times New Roman"/>
      <family val="1"/>
    </font>
    <font>
      <sz val="13"/>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6" fillId="0" borderId="0" applyNumberFormat="0" applyFill="0" applyBorder="0" applyAlignment="0" applyProtection="0"/>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77">
    <xf numFmtId="0" fontId="0" fillId="0" borderId="0" xfId="0" applyAlignment="1">
      <alignment/>
    </xf>
    <xf numFmtId="0" fontId="5" fillId="32" borderId="10" xfId="0" applyFont="1" applyFill="1" applyBorder="1" applyAlignment="1">
      <alignment vertical="center" wrapText="1"/>
    </xf>
    <xf numFmtId="0" fontId="2" fillId="32" borderId="10" xfId="0" applyFont="1" applyFill="1" applyBorder="1" applyAlignment="1">
      <alignment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5" fillId="32" borderId="13" xfId="0" applyFont="1" applyFill="1" applyBorder="1" applyAlignment="1">
      <alignment vertical="center" wrapText="1"/>
    </xf>
    <xf numFmtId="0" fontId="0" fillId="0" borderId="0" xfId="0" applyAlignment="1">
      <alignment horizontal="center"/>
    </xf>
    <xf numFmtId="0" fontId="5" fillId="32" borderId="14"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0" fillId="0" borderId="0" xfId="0" applyFont="1" applyAlignment="1">
      <alignment horizontal="center" vertical="center"/>
    </xf>
    <xf numFmtId="0" fontId="9" fillId="0" borderId="10" xfId="0" applyFont="1" applyFill="1" applyBorder="1" applyAlignment="1">
      <alignment/>
    </xf>
    <xf numFmtId="173" fontId="9" fillId="0" borderId="10" xfId="0" applyNumberFormat="1" applyFont="1" applyFill="1" applyBorder="1" applyAlignment="1">
      <alignment horizontal="center" vertical="center" wrapText="1"/>
    </xf>
    <xf numFmtId="173" fontId="15" fillId="0" borderId="10" xfId="42" applyNumberFormat="1" applyFont="1" applyFill="1" applyBorder="1" applyAlignment="1">
      <alignment horizontal="center" vertical="center" wrapText="1"/>
    </xf>
    <xf numFmtId="0" fontId="9" fillId="0" borderId="0" xfId="0" applyFont="1" applyFill="1" applyAlignment="1">
      <alignment/>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179" fontId="10" fillId="0" borderId="10" xfId="0" applyNumberFormat="1" applyFont="1" applyFill="1" applyBorder="1" applyAlignment="1">
      <alignment horizontal="center" vertical="center" wrapText="1"/>
    </xf>
    <xf numFmtId="0" fontId="12" fillId="0" borderId="10" xfId="0" applyFont="1" applyFill="1" applyBorder="1" applyAlignment="1">
      <alignment/>
    </xf>
    <xf numFmtId="179" fontId="12" fillId="0" borderId="10" xfId="42" applyNumberFormat="1" applyFont="1" applyFill="1" applyBorder="1" applyAlignment="1">
      <alignment/>
    </xf>
    <xf numFmtId="179" fontId="9" fillId="0" borderId="10" xfId="42" applyNumberFormat="1" applyFont="1" applyFill="1" applyBorder="1" applyAlignment="1">
      <alignment/>
    </xf>
    <xf numFmtId="0" fontId="10" fillId="0" borderId="10" xfId="0" applyFont="1" applyFill="1" applyBorder="1" applyAlignment="1">
      <alignment/>
    </xf>
    <xf numFmtId="179" fontId="15" fillId="0" borderId="10" xfId="42" applyNumberFormat="1" applyFont="1" applyFill="1" applyBorder="1" applyAlignment="1">
      <alignment/>
    </xf>
    <xf numFmtId="3" fontId="13" fillId="0" borderId="10" xfId="0" applyNumberFormat="1" applyFont="1" applyFill="1" applyBorder="1" applyAlignment="1" applyProtection="1">
      <alignment vertical="center" wrapText="1" shrinkToFit="1"/>
      <protection locked="0"/>
    </xf>
    <xf numFmtId="0" fontId="10" fillId="0" borderId="10" xfId="0" applyFont="1" applyFill="1" applyBorder="1" applyAlignment="1">
      <alignment wrapText="1"/>
    </xf>
    <xf numFmtId="0" fontId="9" fillId="0" borderId="10" xfId="0" applyFont="1" applyFill="1" applyBorder="1" applyAlignment="1">
      <alignment horizontal="center"/>
    </xf>
    <xf numFmtId="173" fontId="15" fillId="0" borderId="10" xfId="42" applyNumberFormat="1" applyFont="1" applyFill="1" applyBorder="1" applyAlignment="1">
      <alignment vertical="center" wrapText="1"/>
    </xf>
    <xf numFmtId="173" fontId="9" fillId="0" borderId="10" xfId="42" applyNumberFormat="1" applyFont="1" applyFill="1" applyBorder="1" applyAlignment="1">
      <alignment horizontal="center" vertical="center" wrapText="1"/>
    </xf>
    <xf numFmtId="0" fontId="12" fillId="0" borderId="10" xfId="0"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horizontal="right"/>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173" fontId="14" fillId="0" borderId="10"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179" fontId="12" fillId="0" borderId="10" xfId="42" applyNumberFormat="1" applyFont="1" applyFill="1" applyBorder="1" applyAlignment="1">
      <alignment horizontal="center"/>
    </xf>
    <xf numFmtId="0" fontId="4" fillId="0" borderId="0" xfId="0" applyFont="1" applyFill="1" applyAlignment="1">
      <alignment/>
    </xf>
    <xf numFmtId="0" fontId="9" fillId="0" borderId="0" xfId="0" applyFont="1" applyFill="1" applyAlignment="1">
      <alignment vertical="center" wrapText="1"/>
    </xf>
    <xf numFmtId="0" fontId="10" fillId="0" borderId="0" xfId="0" applyFont="1" applyFill="1" applyAlignment="1">
      <alignment horizontal="center" vertical="center" wrapText="1"/>
    </xf>
    <xf numFmtId="0" fontId="5" fillId="32" borderId="16" xfId="0" applyFont="1" applyFill="1" applyBorder="1" applyAlignment="1">
      <alignment horizontal="center" vertical="center" wrapText="1"/>
    </xf>
    <xf numFmtId="0" fontId="9" fillId="0" borderId="10" xfId="0" applyFont="1" applyFill="1" applyBorder="1" applyAlignment="1">
      <alignment/>
    </xf>
    <xf numFmtId="0" fontId="12" fillId="0" borderId="10" xfId="0" applyFont="1" applyFill="1" applyBorder="1" applyAlignment="1">
      <alignment horizontal="center"/>
    </xf>
    <xf numFmtId="0" fontId="12" fillId="0" borderId="10" xfId="0" applyFont="1" applyFill="1" applyBorder="1" applyAlignment="1" quotePrefix="1">
      <alignment/>
    </xf>
    <xf numFmtId="0" fontId="10" fillId="0" borderId="10" xfId="0" applyFont="1" applyFill="1" applyBorder="1" applyAlignment="1">
      <alignment/>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173" fontId="10" fillId="0" borderId="10" xfId="42" applyNumberFormat="1" applyFont="1" applyFill="1" applyBorder="1" applyAlignment="1">
      <alignment horizontal="center" vertical="center" wrapText="1"/>
    </xf>
    <xf numFmtId="173" fontId="12" fillId="0" borderId="10" xfId="42" applyNumberFormat="1" applyFont="1" applyFill="1" applyBorder="1" applyAlignment="1">
      <alignment horizontal="center" vertical="center" wrapText="1"/>
    </xf>
    <xf numFmtId="173" fontId="12" fillId="0" borderId="10" xfId="0" applyNumberFormat="1" applyFont="1" applyFill="1" applyBorder="1" applyAlignment="1">
      <alignment horizontal="center" vertical="center" wrapText="1"/>
    </xf>
    <xf numFmtId="0" fontId="17" fillId="0" borderId="0" xfId="0" applyFont="1" applyFill="1" applyAlignment="1">
      <alignment/>
    </xf>
    <xf numFmtId="0" fontId="1" fillId="0" borderId="10" xfId="0" applyFont="1" applyBorder="1" applyAlignment="1">
      <alignment/>
    </xf>
    <xf numFmtId="0" fontId="1" fillId="0" borderId="10" xfId="0" applyFont="1" applyBorder="1" applyAlignment="1">
      <alignment wrapText="1"/>
    </xf>
    <xf numFmtId="0" fontId="0" fillId="0" borderId="10" xfId="0" applyFont="1" applyBorder="1" applyAlignment="1">
      <alignment horizontal="center"/>
    </xf>
    <xf numFmtId="191" fontId="10" fillId="0" borderId="10" xfId="0" applyNumberFormat="1" applyFont="1" applyFill="1" applyBorder="1" applyAlignment="1">
      <alignment horizontal="center" vertical="center" wrapText="1"/>
    </xf>
    <xf numFmtId="191" fontId="9" fillId="0" borderId="10" xfId="0" applyNumberFormat="1" applyFont="1" applyFill="1" applyBorder="1" applyAlignment="1">
      <alignment horizontal="center" vertical="center" wrapText="1"/>
    </xf>
    <xf numFmtId="191" fontId="10" fillId="0" borderId="10" xfId="58" applyNumberFormat="1" applyFont="1" applyFill="1" applyBorder="1" applyAlignment="1">
      <alignment horizontal="center" vertical="center" wrapText="1"/>
    </xf>
    <xf numFmtId="191" fontId="12" fillId="0" borderId="10" xfId="58" applyNumberFormat="1" applyFont="1" applyFill="1" applyBorder="1" applyAlignment="1">
      <alignment horizontal="center" vertical="center" wrapText="1"/>
    </xf>
    <xf numFmtId="191" fontId="9" fillId="0" borderId="10" xfId="58" applyNumberFormat="1" applyFont="1" applyFill="1" applyBorder="1" applyAlignment="1">
      <alignment horizontal="center" vertical="center" wrapText="1"/>
    </xf>
    <xf numFmtId="191" fontId="12" fillId="0" borderId="10" xfId="42" applyNumberFormat="1" applyFont="1" applyFill="1" applyBorder="1" applyAlignment="1">
      <alignment/>
    </xf>
    <xf numFmtId="191" fontId="15" fillId="0" borderId="10" xfId="58" applyNumberFormat="1" applyFont="1" applyFill="1" applyBorder="1" applyAlignment="1">
      <alignment horizontal="center" vertical="center" wrapText="1"/>
    </xf>
    <xf numFmtId="191" fontId="15" fillId="0" borderId="10" xfId="42" applyNumberFormat="1" applyFont="1" applyFill="1" applyBorder="1" applyAlignment="1">
      <alignment horizontal="center" vertical="center" wrapText="1"/>
    </xf>
    <xf numFmtId="191" fontId="14" fillId="0" borderId="10" xfId="0" applyNumberFormat="1" applyFont="1" applyFill="1" applyBorder="1" applyAlignment="1">
      <alignment horizontal="center" vertical="center" wrapText="1"/>
    </xf>
    <xf numFmtId="191" fontId="9" fillId="0" borderId="0" xfId="0" applyNumberFormat="1" applyFont="1" applyFill="1" applyAlignment="1">
      <alignment/>
    </xf>
    <xf numFmtId="3" fontId="0" fillId="0" borderId="0" xfId="0" applyNumberFormat="1" applyFill="1" applyAlignment="1">
      <alignment/>
    </xf>
    <xf numFmtId="3" fontId="3" fillId="0" borderId="0" xfId="0" applyNumberFormat="1" applyFont="1" applyFill="1" applyAlignment="1">
      <alignment/>
    </xf>
    <xf numFmtId="3" fontId="4" fillId="0" borderId="0" xfId="0" applyNumberFormat="1" applyFont="1" applyFill="1" applyAlignment="1">
      <alignment/>
    </xf>
    <xf numFmtId="3" fontId="17" fillId="0" borderId="0" xfId="0" applyNumberFormat="1" applyFont="1" applyFill="1" applyAlignment="1">
      <alignment/>
    </xf>
    <xf numFmtId="0" fontId="0" fillId="0" borderId="10" xfId="0" applyFont="1" applyFill="1" applyBorder="1" applyAlignment="1">
      <alignment/>
    </xf>
    <xf numFmtId="3" fontId="13" fillId="0" borderId="10" xfId="0" applyNumberFormat="1" applyFont="1" applyFill="1" applyBorder="1" applyAlignment="1" applyProtection="1">
      <alignment horizontal="center" vertical="center" wrapText="1" shrinkToFit="1"/>
      <protection locked="0"/>
    </xf>
    <xf numFmtId="179" fontId="9" fillId="0" borderId="10" xfId="42" applyNumberFormat="1" applyFont="1" applyFill="1" applyBorder="1" applyAlignment="1">
      <alignment horizontal="center"/>
    </xf>
    <xf numFmtId="179" fontId="15" fillId="0" borderId="10" xfId="42" applyNumberFormat="1" applyFont="1" applyFill="1" applyBorder="1" applyAlignment="1">
      <alignment horizontal="center"/>
    </xf>
    <xf numFmtId="173" fontId="65" fillId="0" borderId="10" xfId="42" applyNumberFormat="1" applyFont="1" applyFill="1" applyBorder="1" applyAlignment="1">
      <alignment horizontal="center" vertical="center" wrapText="1"/>
    </xf>
    <xf numFmtId="179" fontId="10" fillId="0" borderId="10" xfId="42" applyNumberFormat="1" applyFont="1" applyFill="1" applyBorder="1" applyAlignment="1">
      <alignment/>
    </xf>
    <xf numFmtId="3" fontId="18" fillId="0" borderId="10" xfId="0" applyNumberFormat="1" applyFont="1" applyFill="1" applyBorder="1" applyAlignment="1" applyProtection="1">
      <alignment horizontal="center" vertical="center" wrapText="1" shrinkToFit="1"/>
      <protection locked="0"/>
    </xf>
    <xf numFmtId="0" fontId="1" fillId="0" borderId="10" xfId="0" applyFont="1" applyFill="1" applyBorder="1" applyAlignment="1">
      <alignment/>
    </xf>
    <xf numFmtId="0" fontId="1" fillId="0" borderId="10" xfId="0" applyFont="1" applyFill="1" applyBorder="1" applyAlignment="1">
      <alignment wrapText="1"/>
    </xf>
    <xf numFmtId="0" fontId="0" fillId="0" borderId="10" xfId="0" applyFont="1" applyFill="1" applyBorder="1" applyAlignment="1">
      <alignment horizontal="center"/>
    </xf>
    <xf numFmtId="191" fontId="9" fillId="0" borderId="10" xfId="58" applyNumberFormat="1" applyFont="1" applyFill="1" applyBorder="1" applyAlignment="1">
      <alignment vertical="center" wrapText="1"/>
    </xf>
    <xf numFmtId="191" fontId="12" fillId="0" borderId="10" xfId="0" applyNumberFormat="1" applyFont="1" applyFill="1" applyBorder="1" applyAlignment="1">
      <alignment horizontal="center" vertical="center" wrapText="1"/>
    </xf>
    <xf numFmtId="191" fontId="9" fillId="0" borderId="0" xfId="0" applyNumberFormat="1" applyFont="1" applyFill="1" applyAlignment="1">
      <alignment horizontal="center"/>
    </xf>
    <xf numFmtId="179" fontId="19" fillId="0" borderId="10" xfId="42" applyNumberFormat="1" applyFont="1" applyFill="1" applyBorder="1" applyAlignment="1">
      <alignment/>
    </xf>
    <xf numFmtId="3" fontId="66" fillId="0" borderId="0" xfId="0" applyNumberFormat="1" applyFont="1" applyFill="1" applyAlignment="1">
      <alignment/>
    </xf>
    <xf numFmtId="3" fontId="67" fillId="0" borderId="0" xfId="0" applyNumberFormat="1" applyFont="1" applyFill="1" applyAlignment="1">
      <alignment/>
    </xf>
    <xf numFmtId="179" fontId="68" fillId="0" borderId="10" xfId="0" applyNumberFormat="1" applyFont="1" applyFill="1" applyBorder="1" applyAlignment="1">
      <alignment horizontal="center" vertical="center" wrapText="1"/>
    </xf>
    <xf numFmtId="3" fontId="69" fillId="0" borderId="0" xfId="0" applyNumberFormat="1" applyFont="1" applyFill="1" applyAlignment="1">
      <alignment/>
    </xf>
    <xf numFmtId="3" fontId="70" fillId="0" borderId="0" xfId="0" applyNumberFormat="1" applyFont="1" applyFill="1" applyAlignment="1">
      <alignment/>
    </xf>
    <xf numFmtId="173" fontId="71" fillId="0" borderId="10"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9" fontId="12" fillId="0" borderId="10" xfId="58" applyNumberFormat="1" applyFont="1" applyFill="1" applyBorder="1" applyAlignment="1">
      <alignment horizontal="center" vertical="center" wrapText="1"/>
    </xf>
    <xf numFmtId="9" fontId="9" fillId="0" borderId="10" xfId="58" applyNumberFormat="1" applyFont="1" applyFill="1" applyBorder="1" applyAlignment="1">
      <alignment horizontal="center" vertical="center" wrapText="1"/>
    </xf>
    <xf numFmtId="9" fontId="10" fillId="0" borderId="10" xfId="58" applyNumberFormat="1" applyFont="1" applyFill="1" applyBorder="1" applyAlignment="1">
      <alignment horizontal="center" vertical="center" wrapText="1"/>
    </xf>
    <xf numFmtId="9" fontId="9" fillId="0" borderId="10" xfId="58" applyNumberFormat="1" applyFont="1" applyFill="1" applyBorder="1" applyAlignment="1">
      <alignment vertical="center" wrapText="1"/>
    </xf>
    <xf numFmtId="9" fontId="14" fillId="0" borderId="10" xfId="0" applyNumberFormat="1" applyFont="1" applyFill="1" applyBorder="1" applyAlignment="1">
      <alignment horizontal="center" vertical="center" wrapText="1"/>
    </xf>
    <xf numFmtId="9" fontId="9" fillId="0" borderId="0" xfId="0" applyNumberFormat="1" applyFont="1" applyFill="1" applyAlignment="1">
      <alignment horizontal="center"/>
    </xf>
    <xf numFmtId="3" fontId="72" fillId="0" borderId="0" xfId="0" applyNumberFormat="1" applyFont="1" applyFill="1" applyAlignment="1">
      <alignment horizontal="center"/>
    </xf>
    <xf numFmtId="179" fontId="10" fillId="0" borderId="10" xfId="42" applyNumberFormat="1" applyFont="1" applyFill="1" applyBorder="1" applyAlignment="1">
      <alignment horizontal="center"/>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173" fontId="10" fillId="0" borderId="10" xfId="0" applyNumberFormat="1" applyFont="1" applyFill="1" applyBorder="1" applyAlignment="1">
      <alignment horizontal="center" vertical="center" wrapText="1"/>
    </xf>
    <xf numFmtId="9" fontId="15" fillId="0" borderId="10" xfId="58" applyFont="1" applyFill="1" applyBorder="1" applyAlignment="1">
      <alignment horizontal="center" vertical="center" wrapText="1"/>
    </xf>
    <xf numFmtId="9" fontId="10" fillId="0" borderId="10" xfId="58" applyFont="1" applyFill="1" applyBorder="1" applyAlignment="1">
      <alignment horizontal="center" vertical="center" wrapText="1"/>
    </xf>
    <xf numFmtId="9" fontId="12" fillId="0" borderId="10" xfId="58" applyFont="1" applyFill="1" applyBorder="1" applyAlignment="1">
      <alignment horizontal="center"/>
    </xf>
    <xf numFmtId="9" fontId="10" fillId="0" borderId="10" xfId="58" applyFont="1" applyFill="1" applyBorder="1" applyAlignment="1">
      <alignment horizontal="center"/>
    </xf>
    <xf numFmtId="9" fontId="15" fillId="0" borderId="10" xfId="58" applyFont="1" applyFill="1" applyBorder="1" applyAlignment="1">
      <alignment horizontal="center"/>
    </xf>
    <xf numFmtId="9" fontId="72" fillId="0" borderId="0" xfId="58" applyFont="1" applyFill="1" applyAlignment="1">
      <alignment horizontal="center"/>
    </xf>
    <xf numFmtId="3" fontId="2" fillId="32" borderId="17" xfId="0" applyNumberFormat="1" applyFont="1" applyFill="1" applyBorder="1" applyAlignment="1">
      <alignment horizontal="center" vertical="center" wrapText="1"/>
    </xf>
    <xf numFmtId="3" fontId="5" fillId="32" borderId="18" xfId="0" applyNumberFormat="1" applyFont="1" applyFill="1" applyBorder="1" applyAlignment="1">
      <alignment horizontal="center" vertical="center" wrapText="1"/>
    </xf>
    <xf numFmtId="3" fontId="2" fillId="32" borderId="18" xfId="0" applyNumberFormat="1" applyFont="1" applyFill="1" applyBorder="1" applyAlignment="1">
      <alignment horizontal="center" vertical="center" wrapText="1"/>
    </xf>
    <xf numFmtId="3" fontId="5" fillId="32" borderId="18" xfId="42" applyNumberFormat="1" applyFont="1" applyFill="1" applyBorder="1" applyAlignment="1">
      <alignment horizontal="center" vertical="center" wrapText="1"/>
    </xf>
    <xf numFmtId="3" fontId="5" fillId="32" borderId="19" xfId="42" applyNumberFormat="1" applyFont="1" applyFill="1" applyBorder="1" applyAlignment="1">
      <alignment horizontal="center" vertical="center" wrapText="1"/>
    </xf>
    <xf numFmtId="3" fontId="0" fillId="0" borderId="0" xfId="0" applyNumberFormat="1" applyAlignment="1">
      <alignment/>
    </xf>
    <xf numFmtId="0" fontId="1" fillId="0" borderId="0" xfId="0" applyFont="1" applyAlignment="1">
      <alignment/>
    </xf>
    <xf numFmtId="0" fontId="2" fillId="32" borderId="10" xfId="0"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3" fontId="5" fillId="32" borderId="10" xfId="0" applyNumberFormat="1" applyFont="1" applyFill="1" applyBorder="1" applyAlignment="1">
      <alignment horizontal="center" vertical="center" wrapText="1"/>
    </xf>
    <xf numFmtId="3" fontId="5" fillId="32" borderId="10" xfId="42" applyNumberFormat="1" applyFont="1" applyFill="1" applyBorder="1" applyAlignment="1">
      <alignment horizontal="center" vertical="center" wrapText="1"/>
    </xf>
    <xf numFmtId="0" fontId="9" fillId="0" borderId="0" xfId="0" applyFont="1" applyFill="1" applyBorder="1" applyAlignment="1">
      <alignment/>
    </xf>
    <xf numFmtId="173" fontId="9" fillId="0" borderId="0" xfId="42" applyNumberFormat="1" applyFont="1" applyFill="1" applyBorder="1" applyAlignment="1">
      <alignment horizontal="center" vertical="center" wrapText="1"/>
    </xf>
    <xf numFmtId="191" fontId="9" fillId="0" borderId="0" xfId="58" applyNumberFormat="1" applyFont="1" applyFill="1" applyBorder="1" applyAlignment="1">
      <alignment horizontal="center" vertical="center" wrapText="1"/>
    </xf>
    <xf numFmtId="9" fontId="9" fillId="0" borderId="0" xfId="0" applyNumberFormat="1" applyFont="1" applyFill="1" applyBorder="1" applyAlignment="1">
      <alignment horizontal="center" vertical="center" wrapText="1"/>
    </xf>
    <xf numFmtId="0" fontId="73" fillId="0" borderId="10" xfId="0" applyFont="1" applyBorder="1" applyAlignment="1">
      <alignment/>
    </xf>
    <xf numFmtId="0" fontId="73" fillId="0" borderId="0" xfId="0" applyFont="1" applyBorder="1" applyAlignment="1">
      <alignment/>
    </xf>
    <xf numFmtId="9" fontId="15" fillId="0" borderId="10" xfId="0" applyNumberFormat="1" applyFont="1" applyFill="1" applyBorder="1" applyAlignment="1">
      <alignment horizontal="center" vertical="center" wrapText="1"/>
    </xf>
    <xf numFmtId="0" fontId="74" fillId="0" borderId="10" xfId="0" applyFont="1" applyBorder="1" applyAlignment="1">
      <alignment wrapText="1"/>
    </xf>
    <xf numFmtId="0" fontId="10" fillId="33" borderId="10" xfId="0" applyFont="1" applyFill="1" applyBorder="1" applyAlignment="1">
      <alignment horizontal="center" vertical="center" wrapText="1"/>
    </xf>
    <xf numFmtId="0" fontId="10" fillId="33" borderId="10" xfId="0" applyFont="1" applyFill="1" applyBorder="1" applyAlignment="1">
      <alignment vertical="center" wrapText="1"/>
    </xf>
    <xf numFmtId="179" fontId="10" fillId="33" borderId="10" xfId="0" applyNumberFormat="1" applyFont="1" applyFill="1" applyBorder="1" applyAlignment="1">
      <alignment horizontal="center" vertical="center" wrapText="1"/>
    </xf>
    <xf numFmtId="191" fontId="10" fillId="33" borderId="10" xfId="58" applyNumberFormat="1" applyFont="1" applyFill="1" applyBorder="1" applyAlignment="1">
      <alignment horizontal="center" vertical="center" wrapText="1"/>
    </xf>
    <xf numFmtId="9" fontId="10" fillId="33" borderId="10" xfId="58"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179" fontId="10" fillId="33" borderId="10" xfId="42" applyNumberFormat="1" applyFont="1" applyFill="1" applyBorder="1" applyAlignment="1">
      <alignment/>
    </xf>
    <xf numFmtId="179" fontId="10" fillId="33" borderId="10" xfId="42" applyNumberFormat="1" applyFont="1" applyFill="1" applyBorder="1" applyAlignment="1">
      <alignment horizontal="center"/>
    </xf>
    <xf numFmtId="9" fontId="10" fillId="33" borderId="10" xfId="58" applyFont="1" applyFill="1" applyBorder="1" applyAlignment="1">
      <alignment horizontal="center"/>
    </xf>
    <xf numFmtId="173" fontId="10" fillId="33" borderId="10" xfId="0" applyNumberFormat="1" applyFont="1" applyFill="1" applyBorder="1" applyAlignment="1">
      <alignment horizontal="center" vertical="center" wrapText="1"/>
    </xf>
    <xf numFmtId="9" fontId="10" fillId="33" borderId="10" xfId="58" applyFont="1" applyFill="1" applyBorder="1" applyAlignment="1">
      <alignment horizontal="center" vertical="center" wrapText="1"/>
    </xf>
    <xf numFmtId="9" fontId="12" fillId="33" borderId="10" xfId="58" applyNumberFormat="1"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xf>
    <xf numFmtId="0" fontId="11" fillId="0" borderId="0" xfId="0" applyFont="1" applyAlignment="1">
      <alignment horizontal="center" vertical="center"/>
    </xf>
    <xf numFmtId="0" fontId="2" fillId="0" borderId="0" xfId="0" applyFont="1" applyAlignment="1">
      <alignment horizontal="left" vertical="center" wrapText="1"/>
    </xf>
    <xf numFmtId="0" fontId="20"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10" fillId="0" borderId="0" xfId="0" applyFont="1" applyFill="1" applyAlignment="1">
      <alignment horizontal="center"/>
    </xf>
    <xf numFmtId="0" fontId="10" fillId="0" borderId="10" xfId="0" applyFont="1" applyFill="1" applyBorder="1" applyAlignment="1">
      <alignment horizontal="center" vertical="center" wrapText="1"/>
    </xf>
    <xf numFmtId="0" fontId="9" fillId="0" borderId="0" xfId="0" applyFont="1" applyFill="1" applyAlignment="1">
      <alignment vertic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191" fontId="9"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11" fillId="0" borderId="0" xfId="0" applyFont="1" applyFill="1" applyBorder="1" applyAlignment="1">
      <alignment horizontal="right" vertical="center"/>
    </xf>
    <xf numFmtId="191" fontId="10" fillId="0" borderId="10" xfId="0" applyNumberFormat="1" applyFont="1" applyFill="1" applyBorder="1" applyAlignment="1">
      <alignment horizontal="center" vertical="center" wrapText="1"/>
    </xf>
    <xf numFmtId="191" fontId="10" fillId="0" borderId="20" xfId="0" applyNumberFormat="1" applyFont="1" applyFill="1" applyBorder="1" applyAlignment="1">
      <alignment horizontal="center" vertical="center" wrapText="1"/>
    </xf>
    <xf numFmtId="191" fontId="10" fillId="0" borderId="21" xfId="0" applyNumberFormat="1" applyFont="1" applyFill="1" applyBorder="1" applyAlignment="1">
      <alignment horizontal="center" vertical="center" wrapText="1"/>
    </xf>
    <xf numFmtId="0" fontId="75" fillId="0" borderId="0" xfId="0" applyFont="1" applyAlignment="1">
      <alignment horizontal="left" wrapText="1"/>
    </xf>
    <xf numFmtId="0" fontId="75" fillId="0" borderId="0" xfId="0" applyFont="1" applyAlignment="1">
      <alignment horizontal="left"/>
    </xf>
    <xf numFmtId="0" fontId="75" fillId="0" borderId="0" xfId="0" applyFont="1" applyAlignment="1">
      <alignment horizontal="left" vertical="center" wrapText="1"/>
    </xf>
    <xf numFmtId="0" fontId="75" fillId="0" borderId="0" xfId="0" applyFont="1" applyAlignment="1">
      <alignment horizontal="left" vertical="center"/>
    </xf>
    <xf numFmtId="0" fontId="12" fillId="0" borderId="0" xfId="0" applyFont="1" applyFill="1" applyAlignment="1">
      <alignment horizontal="center" vertical="center" wrapText="1"/>
    </xf>
    <xf numFmtId="0" fontId="14" fillId="0" borderId="0" xfId="0" applyFont="1" applyFill="1" applyAlignment="1">
      <alignment horizontal="right" vertical="center" wrapText="1"/>
    </xf>
    <xf numFmtId="0" fontId="8"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191" fontId="11" fillId="0" borderId="0" xfId="0" applyNumberFormat="1" applyFont="1" applyFill="1" applyAlignment="1">
      <alignment horizontal="center" vertical="center" wrapText="1"/>
    </xf>
    <xf numFmtId="9" fontId="10" fillId="0" borderId="20" xfId="0" applyNumberFormat="1" applyFont="1" applyFill="1" applyBorder="1" applyAlignment="1">
      <alignment horizontal="center" vertical="center" wrapText="1"/>
    </xf>
    <xf numFmtId="9" fontId="10" fillId="0" borderId="21" xfId="0" applyNumberFormat="1" applyFont="1" applyFill="1" applyBorder="1" applyAlignment="1">
      <alignment horizontal="center" vertical="center" wrapText="1"/>
    </xf>
    <xf numFmtId="9" fontId="21" fillId="0" borderId="20" xfId="0" applyNumberFormat="1" applyFont="1" applyFill="1" applyBorder="1" applyAlignment="1">
      <alignment horizontal="center" vertical="center" wrapText="1"/>
    </xf>
    <xf numFmtId="9" fontId="21" fillId="0" borderId="21" xfId="0" applyNumberFormat="1" applyFont="1" applyFill="1" applyBorder="1" applyAlignment="1">
      <alignment horizontal="center" vertical="center" wrapText="1"/>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E112"/>
  <sheetViews>
    <sheetView zoomScalePageLayoutView="0" workbookViewId="0" topLeftCell="A157">
      <selection activeCell="C110" sqref="C110"/>
    </sheetView>
  </sheetViews>
  <sheetFormatPr defaultColWidth="9.00390625" defaultRowHeight="15.75"/>
  <cols>
    <col min="1" max="1" width="9.00390625" style="6" customWidth="1"/>
    <col min="2" max="2" width="52.625" style="0" customWidth="1"/>
    <col min="3" max="3" width="22.00390625" style="113" customWidth="1"/>
    <col min="5" max="5" width="41.375" style="0" customWidth="1"/>
  </cols>
  <sheetData>
    <row r="1" spans="1:3" ht="15.75">
      <c r="A1" s="146" t="s">
        <v>102</v>
      </c>
      <c r="B1" s="146"/>
      <c r="C1" s="146"/>
    </row>
    <row r="2" spans="1:3" ht="18.75">
      <c r="A2" s="147" t="s">
        <v>169</v>
      </c>
      <c r="B2" s="147"/>
      <c r="C2" s="147"/>
    </row>
    <row r="3" spans="1:3" ht="18.75">
      <c r="A3" s="147" t="s">
        <v>89</v>
      </c>
      <c r="B3" s="147"/>
      <c r="C3" s="147"/>
    </row>
    <row r="4" spans="1:3" ht="20.25">
      <c r="A4" s="148" t="s">
        <v>110</v>
      </c>
      <c r="B4" s="148"/>
      <c r="C4" s="148"/>
    </row>
    <row r="5" spans="1:3" ht="18.75">
      <c r="A5" s="149" t="s">
        <v>192</v>
      </c>
      <c r="B5" s="149"/>
      <c r="C5" s="149"/>
    </row>
    <row r="6" spans="1:3" ht="18.75">
      <c r="A6" s="141" t="s">
        <v>23</v>
      </c>
      <c r="B6" s="141"/>
      <c r="C6" s="141"/>
    </row>
    <row r="7" spans="1:3" ht="19.5" thickBot="1">
      <c r="A7" s="142" t="s">
        <v>88</v>
      </c>
      <c r="B7" s="142"/>
      <c r="C7" s="142"/>
    </row>
    <row r="8" spans="1:3" ht="24.75" customHeight="1">
      <c r="A8" s="3" t="s">
        <v>2</v>
      </c>
      <c r="B8" s="4" t="s">
        <v>3</v>
      </c>
      <c r="C8" s="108" t="s">
        <v>24</v>
      </c>
    </row>
    <row r="9" spans="1:3" ht="24.75" customHeight="1">
      <c r="A9" s="8" t="s">
        <v>0</v>
      </c>
      <c r="B9" s="2" t="s">
        <v>8</v>
      </c>
      <c r="C9" s="110">
        <f>C10</f>
        <v>4500000</v>
      </c>
    </row>
    <row r="10" spans="1:3" ht="24.75" customHeight="1">
      <c r="A10" s="7">
        <v>1</v>
      </c>
      <c r="B10" s="1" t="s">
        <v>9</v>
      </c>
      <c r="C10" s="109">
        <f>C13</f>
        <v>4500000</v>
      </c>
    </row>
    <row r="11" spans="1:3" ht="24.75" customHeight="1">
      <c r="A11" s="7">
        <v>1.1</v>
      </c>
      <c r="B11" s="1" t="s">
        <v>10</v>
      </c>
      <c r="C11" s="109"/>
    </row>
    <row r="12" spans="1:3" ht="24.75" customHeight="1">
      <c r="A12" s="7">
        <v>1.2</v>
      </c>
      <c r="B12" s="1" t="s">
        <v>13</v>
      </c>
      <c r="C12" s="109"/>
    </row>
    <row r="13" spans="1:3" ht="24.75" customHeight="1">
      <c r="A13" s="7">
        <v>2</v>
      </c>
      <c r="B13" s="1" t="s">
        <v>16</v>
      </c>
      <c r="C13" s="109">
        <v>4500000</v>
      </c>
    </row>
    <row r="14" spans="1:3" ht="24.75" customHeight="1">
      <c r="A14" s="7">
        <v>2.2</v>
      </c>
      <c r="B14" s="1" t="s">
        <v>4</v>
      </c>
      <c r="C14" s="109"/>
    </row>
    <row r="15" spans="1:3" ht="24.75" customHeight="1">
      <c r="A15" s="7">
        <v>3</v>
      </c>
      <c r="B15" s="1" t="s">
        <v>21</v>
      </c>
      <c r="C15" s="109">
        <v>0</v>
      </c>
    </row>
    <row r="16" spans="1:3" ht="24.75" customHeight="1">
      <c r="A16" s="7">
        <v>3.1</v>
      </c>
      <c r="B16" s="1" t="s">
        <v>10</v>
      </c>
      <c r="C16" s="109"/>
    </row>
    <row r="17" spans="1:3" ht="24.75" customHeight="1">
      <c r="A17" s="7">
        <v>3.2</v>
      </c>
      <c r="B17" s="1" t="s">
        <v>13</v>
      </c>
      <c r="C17" s="109"/>
    </row>
    <row r="18" spans="1:3" s="114" customFormat="1" ht="24.75" customHeight="1">
      <c r="A18" s="8" t="s">
        <v>1</v>
      </c>
      <c r="B18" s="2" t="s">
        <v>22</v>
      </c>
      <c r="C18" s="110">
        <f>C19</f>
        <v>8070915000</v>
      </c>
    </row>
    <row r="19" spans="1:3" ht="24.75" customHeight="1">
      <c r="A19" s="7">
        <v>1</v>
      </c>
      <c r="B19" s="1" t="s">
        <v>4</v>
      </c>
      <c r="C19" s="109">
        <f>SUM(C20:C22)</f>
        <v>8070915000</v>
      </c>
    </row>
    <row r="20" spans="1:3" ht="24.75" customHeight="1">
      <c r="A20" s="7">
        <v>1.1</v>
      </c>
      <c r="B20" s="1" t="s">
        <v>20</v>
      </c>
      <c r="C20" s="111">
        <f>7027493000-1097219000</f>
        <v>5930274000</v>
      </c>
    </row>
    <row r="21" spans="1:3" ht="24.75" customHeight="1">
      <c r="A21" s="7">
        <v>1.2</v>
      </c>
      <c r="B21" s="1" t="s">
        <v>96</v>
      </c>
      <c r="C21" s="111">
        <v>1097219000</v>
      </c>
    </row>
    <row r="22" spans="1:3" ht="24.75" customHeight="1">
      <c r="A22" s="7">
        <v>1.3</v>
      </c>
      <c r="B22" s="1" t="s">
        <v>5</v>
      </c>
      <c r="C22" s="111">
        <v>1043422000</v>
      </c>
    </row>
    <row r="23" spans="1:3" ht="24.75" customHeight="1">
      <c r="A23" s="8">
        <v>2</v>
      </c>
      <c r="B23" s="2" t="s">
        <v>7</v>
      </c>
      <c r="C23" s="110">
        <f>SUM(C24:C26)</f>
        <v>8070915000</v>
      </c>
    </row>
    <row r="24" spans="1:5" ht="24.75" customHeight="1">
      <c r="A24" s="7">
        <v>2.1</v>
      </c>
      <c r="B24" s="1" t="s">
        <v>18</v>
      </c>
      <c r="C24" s="111">
        <f>C20</f>
        <v>5930274000</v>
      </c>
      <c r="E24" s="113">
        <f>C26+C25+C24</f>
        <v>8070915000</v>
      </c>
    </row>
    <row r="25" spans="1:3" ht="24.75" customHeight="1">
      <c r="A25" s="42">
        <v>2.2</v>
      </c>
      <c r="B25" s="1" t="s">
        <v>96</v>
      </c>
      <c r="C25" s="111">
        <f>C21</f>
        <v>1097219000</v>
      </c>
    </row>
    <row r="26" spans="1:5" ht="24.75" customHeight="1" thickBot="1">
      <c r="A26" s="9">
        <v>2.3</v>
      </c>
      <c r="B26" s="5" t="s">
        <v>6</v>
      </c>
      <c r="C26" s="112">
        <f>C22</f>
        <v>1043422000</v>
      </c>
      <c r="E26">
        <v>8070915000</v>
      </c>
    </row>
    <row r="27" ht="15.75">
      <c r="A27" s="10"/>
    </row>
    <row r="28" spans="2:5" ht="18.75">
      <c r="B28" s="143" t="s">
        <v>103</v>
      </c>
      <c r="C28" s="143"/>
      <c r="E28" s="113">
        <f>E24-E26</f>
        <v>0</v>
      </c>
    </row>
    <row r="29" spans="2:3" ht="18.75">
      <c r="B29" s="144" t="s">
        <v>90</v>
      </c>
      <c r="C29" s="144"/>
    </row>
    <row r="30" spans="2:3" ht="15.75">
      <c r="B30" s="176" t="s">
        <v>193</v>
      </c>
      <c r="C30" s="176"/>
    </row>
    <row r="35" spans="2:3" ht="15.75">
      <c r="B35" s="145" t="s">
        <v>170</v>
      </c>
      <c r="C35" s="145"/>
    </row>
    <row r="39" spans="1:3" ht="15.75">
      <c r="A39" s="146" t="s">
        <v>102</v>
      </c>
      <c r="B39" s="146"/>
      <c r="C39" s="146"/>
    </row>
    <row r="40" spans="1:3" ht="18.75">
      <c r="A40" s="147" t="s">
        <v>169</v>
      </c>
      <c r="B40" s="147"/>
      <c r="C40" s="147"/>
    </row>
    <row r="41" spans="1:3" ht="18.75">
      <c r="A41" s="147" t="s">
        <v>89</v>
      </c>
      <c r="B41" s="147"/>
      <c r="C41" s="147"/>
    </row>
    <row r="42" spans="1:3" ht="36.75" customHeight="1">
      <c r="A42" s="148" t="s">
        <v>171</v>
      </c>
      <c r="B42" s="148"/>
      <c r="C42" s="148"/>
    </row>
    <row r="43" spans="1:3" ht="18.75">
      <c r="A43" s="149" t="s">
        <v>195</v>
      </c>
      <c r="B43" s="149"/>
      <c r="C43" s="149"/>
    </row>
    <row r="44" spans="1:3" ht="18.75">
      <c r="A44" s="141" t="s">
        <v>23</v>
      </c>
      <c r="B44" s="141"/>
      <c r="C44" s="141"/>
    </row>
    <row r="45" spans="1:3" ht="18.75">
      <c r="A45" s="142" t="s">
        <v>88</v>
      </c>
      <c r="B45" s="142"/>
      <c r="C45" s="142"/>
    </row>
    <row r="46" spans="1:3" ht="24" customHeight="1">
      <c r="A46" s="115" t="s">
        <v>2</v>
      </c>
      <c r="B46" s="115" t="s">
        <v>3</v>
      </c>
      <c r="C46" s="116" t="s">
        <v>24</v>
      </c>
    </row>
    <row r="47" spans="1:3" ht="22.5" customHeight="1">
      <c r="A47" s="115" t="s">
        <v>0</v>
      </c>
      <c r="B47" s="2" t="s">
        <v>8</v>
      </c>
      <c r="C47" s="116">
        <f>C48</f>
        <v>0</v>
      </c>
    </row>
    <row r="48" spans="1:3" ht="22.5" customHeight="1">
      <c r="A48" s="117">
        <v>1</v>
      </c>
      <c r="B48" s="1" t="s">
        <v>9</v>
      </c>
      <c r="C48" s="118">
        <f>C51</f>
        <v>0</v>
      </c>
    </row>
    <row r="49" spans="1:3" ht="22.5" customHeight="1">
      <c r="A49" s="117">
        <v>1.1</v>
      </c>
      <c r="B49" s="1" t="s">
        <v>10</v>
      </c>
      <c r="C49" s="118"/>
    </row>
    <row r="50" spans="1:3" ht="22.5" customHeight="1">
      <c r="A50" s="117">
        <v>1.2</v>
      </c>
      <c r="B50" s="1" t="s">
        <v>13</v>
      </c>
      <c r="C50" s="118"/>
    </row>
    <row r="51" spans="1:3" ht="22.5" customHeight="1">
      <c r="A51" s="117">
        <v>2</v>
      </c>
      <c r="B51" s="1" t="s">
        <v>16</v>
      </c>
      <c r="C51" s="118"/>
    </row>
    <row r="52" spans="1:3" ht="22.5" customHeight="1">
      <c r="A52" s="117">
        <v>2.2</v>
      </c>
      <c r="B52" s="1" t="s">
        <v>4</v>
      </c>
      <c r="C52" s="118"/>
    </row>
    <row r="53" spans="1:3" ht="22.5" customHeight="1">
      <c r="A53" s="117">
        <v>3</v>
      </c>
      <c r="B53" s="1" t="s">
        <v>21</v>
      </c>
      <c r="C53" s="118">
        <v>0</v>
      </c>
    </row>
    <row r="54" spans="1:3" ht="22.5" customHeight="1">
      <c r="A54" s="117">
        <v>3.1</v>
      </c>
      <c r="B54" s="1" t="s">
        <v>10</v>
      </c>
      <c r="C54" s="118"/>
    </row>
    <row r="55" spans="1:3" ht="22.5" customHeight="1">
      <c r="A55" s="117">
        <v>3.2</v>
      </c>
      <c r="B55" s="1" t="s">
        <v>13</v>
      </c>
      <c r="C55" s="118"/>
    </row>
    <row r="56" spans="1:3" ht="22.5" customHeight="1">
      <c r="A56" s="115" t="s">
        <v>1</v>
      </c>
      <c r="B56" s="2" t="s">
        <v>22</v>
      </c>
      <c r="C56" s="116">
        <f>C57</f>
        <v>134436000</v>
      </c>
    </row>
    <row r="57" spans="1:3" ht="22.5" customHeight="1">
      <c r="A57" s="117">
        <v>1</v>
      </c>
      <c r="B57" s="1" t="s">
        <v>4</v>
      </c>
      <c r="C57" s="118">
        <f>SUM(C58:C60)</f>
        <v>134436000</v>
      </c>
    </row>
    <row r="58" spans="1:3" ht="22.5" customHeight="1">
      <c r="A58" s="117">
        <v>1.1</v>
      </c>
      <c r="B58" s="1" t="s">
        <v>20</v>
      </c>
      <c r="C58" s="119">
        <v>59436000</v>
      </c>
    </row>
    <row r="59" spans="1:3" ht="22.5" customHeight="1">
      <c r="A59" s="117">
        <v>1.2</v>
      </c>
      <c r="B59" s="1" t="s">
        <v>96</v>
      </c>
      <c r="C59" s="119"/>
    </row>
    <row r="60" spans="1:3" ht="22.5" customHeight="1">
      <c r="A60" s="117">
        <v>1.3</v>
      </c>
      <c r="B60" s="1" t="s">
        <v>5</v>
      </c>
      <c r="C60" s="119">
        <v>75000000</v>
      </c>
    </row>
    <row r="61" spans="1:3" ht="22.5" customHeight="1">
      <c r="A61" s="115">
        <v>2</v>
      </c>
      <c r="B61" s="2" t="s">
        <v>7</v>
      </c>
      <c r="C61" s="116">
        <f>SUM(C62:C64)</f>
        <v>134436000</v>
      </c>
    </row>
    <row r="62" spans="1:3" ht="22.5" customHeight="1">
      <c r="A62" s="117">
        <v>2.1</v>
      </c>
      <c r="B62" s="1" t="s">
        <v>18</v>
      </c>
      <c r="C62" s="119">
        <v>59436000</v>
      </c>
    </row>
    <row r="63" spans="1:3" ht="22.5" customHeight="1">
      <c r="A63" s="117">
        <v>2.2</v>
      </c>
      <c r="B63" s="1" t="s">
        <v>96</v>
      </c>
      <c r="C63" s="119"/>
    </row>
    <row r="64" spans="1:3" ht="22.5" customHeight="1">
      <c r="A64" s="117">
        <v>2.3</v>
      </c>
      <c r="B64" s="1" t="s">
        <v>6</v>
      </c>
      <c r="C64" s="119">
        <v>75000000</v>
      </c>
    </row>
    <row r="65" ht="15.75">
      <c r="A65" s="10"/>
    </row>
    <row r="66" spans="2:3" ht="18.75">
      <c r="B66" s="143" t="s">
        <v>103</v>
      </c>
      <c r="C66" s="143"/>
    </row>
    <row r="67" spans="2:3" ht="18.75">
      <c r="B67" s="144" t="s">
        <v>90</v>
      </c>
      <c r="C67" s="144"/>
    </row>
    <row r="68" spans="2:3" ht="15.75">
      <c r="B68" s="176" t="s">
        <v>193</v>
      </c>
      <c r="C68" s="176"/>
    </row>
    <row r="73" spans="2:3" ht="15.75">
      <c r="B73" s="145" t="s">
        <v>170</v>
      </c>
      <c r="C73" s="145"/>
    </row>
    <row r="78" spans="1:3" ht="15.75">
      <c r="A78" s="146" t="s">
        <v>102</v>
      </c>
      <c r="B78" s="146"/>
      <c r="C78" s="146"/>
    </row>
    <row r="79" spans="1:3" ht="18.75">
      <c r="A79" s="147" t="s">
        <v>169</v>
      </c>
      <c r="B79" s="147"/>
      <c r="C79" s="147"/>
    </row>
    <row r="80" spans="1:3" ht="18.75">
      <c r="A80" s="147" t="s">
        <v>89</v>
      </c>
      <c r="B80" s="147"/>
      <c r="C80" s="147"/>
    </row>
    <row r="81" spans="1:3" ht="18.75">
      <c r="A81" s="150" t="s">
        <v>172</v>
      </c>
      <c r="B81" s="150"/>
      <c r="C81" s="150"/>
    </row>
    <row r="82" spans="1:3" ht="18.75">
      <c r="A82" s="149" t="s">
        <v>194</v>
      </c>
      <c r="B82" s="149"/>
      <c r="C82" s="149"/>
    </row>
    <row r="83" spans="1:3" ht="18.75">
      <c r="A83" s="141" t="s">
        <v>23</v>
      </c>
      <c r="B83" s="141"/>
      <c r="C83" s="141"/>
    </row>
    <row r="84" spans="1:3" ht="18.75">
      <c r="A84" s="142" t="s">
        <v>88</v>
      </c>
      <c r="B84" s="142"/>
      <c r="C84" s="142"/>
    </row>
    <row r="85" spans="1:3" ht="18.75">
      <c r="A85" s="115" t="s">
        <v>2</v>
      </c>
      <c r="B85" s="115" t="s">
        <v>3</v>
      </c>
      <c r="C85" s="116" t="s">
        <v>24</v>
      </c>
    </row>
    <row r="86" spans="1:3" ht="18.75">
      <c r="A86" s="115" t="s">
        <v>0</v>
      </c>
      <c r="B86" s="2" t="s">
        <v>8</v>
      </c>
      <c r="C86" s="116">
        <f>C87</f>
        <v>0</v>
      </c>
    </row>
    <row r="87" spans="1:3" ht="18.75">
      <c r="A87" s="117">
        <v>1</v>
      </c>
      <c r="B87" s="1" t="s">
        <v>9</v>
      </c>
      <c r="C87" s="118">
        <f>C90</f>
        <v>0</v>
      </c>
    </row>
    <row r="88" spans="1:3" ht="18.75">
      <c r="A88" s="117">
        <v>1.1</v>
      </c>
      <c r="B88" s="1" t="s">
        <v>10</v>
      </c>
      <c r="C88" s="118"/>
    </row>
    <row r="89" spans="1:3" ht="18.75">
      <c r="A89" s="117">
        <v>1.2</v>
      </c>
      <c r="B89" s="1" t="s">
        <v>13</v>
      </c>
      <c r="C89" s="118"/>
    </row>
    <row r="90" spans="1:3" ht="18.75">
      <c r="A90" s="117">
        <v>2</v>
      </c>
      <c r="B90" s="1" t="s">
        <v>16</v>
      </c>
      <c r="C90" s="118"/>
    </row>
    <row r="91" spans="1:3" ht="18.75">
      <c r="A91" s="117">
        <v>2.2</v>
      </c>
      <c r="B91" s="1" t="s">
        <v>4</v>
      </c>
      <c r="C91" s="118"/>
    </row>
    <row r="92" spans="1:3" ht="18.75">
      <c r="A92" s="117">
        <v>3</v>
      </c>
      <c r="B92" s="1" t="s">
        <v>21</v>
      </c>
      <c r="C92" s="118">
        <v>0</v>
      </c>
    </row>
    <row r="93" spans="1:3" ht="18.75">
      <c r="A93" s="117">
        <v>3.1</v>
      </c>
      <c r="B93" s="1" t="s">
        <v>10</v>
      </c>
      <c r="C93" s="118"/>
    </row>
    <row r="94" spans="1:3" ht="18.75">
      <c r="A94" s="117">
        <v>3.2</v>
      </c>
      <c r="B94" s="1" t="s">
        <v>13</v>
      </c>
      <c r="C94" s="118"/>
    </row>
    <row r="95" spans="1:3" ht="18.75">
      <c r="A95" s="115" t="s">
        <v>1</v>
      </c>
      <c r="B95" s="2" t="s">
        <v>22</v>
      </c>
      <c r="C95" s="116">
        <f>C97+C98+C100</f>
        <v>133741444</v>
      </c>
    </row>
    <row r="96" spans="1:3" ht="18.75">
      <c r="A96" s="117">
        <v>1</v>
      </c>
      <c r="B96" s="1" t="s">
        <v>4</v>
      </c>
      <c r="C96" s="118"/>
    </row>
    <row r="97" spans="1:3" ht="18.75">
      <c r="A97" s="117">
        <v>1.1</v>
      </c>
      <c r="B97" s="1" t="s">
        <v>20</v>
      </c>
      <c r="C97" s="119">
        <v>176377196</v>
      </c>
    </row>
    <row r="98" spans="1:3" ht="18.75">
      <c r="A98" s="117">
        <v>1.2</v>
      </c>
      <c r="B98" s="1" t="s">
        <v>96</v>
      </c>
      <c r="C98" s="119">
        <v>-86635752</v>
      </c>
    </row>
    <row r="99" spans="1:3" ht="18.75">
      <c r="A99" s="117">
        <v>1.3</v>
      </c>
      <c r="B99" s="1" t="s">
        <v>5</v>
      </c>
      <c r="C99" s="119"/>
    </row>
    <row r="100" spans="1:3" ht="18.75">
      <c r="A100" s="115">
        <v>2</v>
      </c>
      <c r="B100" s="2" t="s">
        <v>7</v>
      </c>
      <c r="C100" s="116">
        <f>SUM(C101:C103)</f>
        <v>44000000</v>
      </c>
    </row>
    <row r="101" spans="1:3" ht="18.75">
      <c r="A101" s="117">
        <v>2.1</v>
      </c>
      <c r="B101" s="1" t="s">
        <v>18</v>
      </c>
      <c r="C101" s="119"/>
    </row>
    <row r="102" spans="1:3" ht="18.75">
      <c r="A102" s="117">
        <v>2.2</v>
      </c>
      <c r="B102" s="1" t="s">
        <v>96</v>
      </c>
      <c r="C102" s="119"/>
    </row>
    <row r="103" spans="1:3" ht="18.75">
      <c r="A103" s="117">
        <v>2.3</v>
      </c>
      <c r="B103" s="1" t="s">
        <v>6</v>
      </c>
      <c r="C103" s="119">
        <v>44000000</v>
      </c>
    </row>
    <row r="104" ht="15.75">
      <c r="A104" s="10"/>
    </row>
    <row r="105" spans="2:3" ht="18.75">
      <c r="B105" s="143" t="s">
        <v>174</v>
      </c>
      <c r="C105" s="143"/>
    </row>
    <row r="106" spans="2:3" ht="18.75">
      <c r="B106" s="144" t="s">
        <v>90</v>
      </c>
      <c r="C106" s="144"/>
    </row>
    <row r="107" spans="2:3" ht="15.75">
      <c r="B107" s="176" t="s">
        <v>193</v>
      </c>
      <c r="C107" s="176"/>
    </row>
    <row r="112" spans="2:3" ht="15.75">
      <c r="B112" s="145" t="s">
        <v>173</v>
      </c>
      <c r="C112" s="145"/>
    </row>
  </sheetData>
  <sheetProtection/>
  <mergeCells count="33">
    <mergeCell ref="B30:C30"/>
    <mergeCell ref="B68:C68"/>
    <mergeCell ref="B107:C107"/>
    <mergeCell ref="A84:C84"/>
    <mergeCell ref="B105:C105"/>
    <mergeCell ref="B106:C106"/>
    <mergeCell ref="B112:C112"/>
    <mergeCell ref="A78:C78"/>
    <mergeCell ref="A79:C79"/>
    <mergeCell ref="A80:C80"/>
    <mergeCell ref="A81:C81"/>
    <mergeCell ref="A82:C82"/>
    <mergeCell ref="A83:C83"/>
    <mergeCell ref="A7:C7"/>
    <mergeCell ref="A44:C44"/>
    <mergeCell ref="A1:C1"/>
    <mergeCell ref="B28:C28"/>
    <mergeCell ref="B29:C29"/>
    <mergeCell ref="B35:C35"/>
    <mergeCell ref="A2:C2"/>
    <mergeCell ref="A3:C3"/>
    <mergeCell ref="A4:C4"/>
    <mergeCell ref="A5:C5"/>
    <mergeCell ref="A6:C6"/>
    <mergeCell ref="A45:C45"/>
    <mergeCell ref="B66:C66"/>
    <mergeCell ref="B67:C67"/>
    <mergeCell ref="B73:C73"/>
    <mergeCell ref="A39:C39"/>
    <mergeCell ref="A40:C40"/>
    <mergeCell ref="A41:C41"/>
    <mergeCell ref="A42:C42"/>
    <mergeCell ref="A43:C43"/>
  </mergeCells>
  <printOptions/>
  <pageMargins left="0.7086614173228347" right="0.4330708661417323" top="0.5118110236220472" bottom="0.511811023622047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59"/>
  <sheetViews>
    <sheetView zoomScalePageLayoutView="0" workbookViewId="0" topLeftCell="A149">
      <selection activeCell="D155" sqref="D155:F155"/>
    </sheetView>
  </sheetViews>
  <sheetFormatPr defaultColWidth="9.00390625" defaultRowHeight="15.75"/>
  <cols>
    <col min="1" max="1" width="5.125" style="14" customWidth="1"/>
    <col min="2" max="2" width="31.00390625" style="14" customWidth="1"/>
    <col min="3" max="3" width="15.125" style="14" customWidth="1"/>
    <col min="4" max="4" width="15.625" style="35" customWidth="1"/>
    <col min="5" max="5" width="10.375" style="65" customWidth="1"/>
    <col min="6" max="6" width="9.375" style="82" customWidth="1"/>
    <col min="7" max="7" width="21.375" style="66" customWidth="1"/>
    <col min="8" max="8" width="15.50390625" style="66" bestFit="1" customWidth="1"/>
    <col min="9" max="9" width="11.125" style="66" bestFit="1" customWidth="1"/>
    <col min="10" max="12" width="9.00390625" style="66" customWidth="1"/>
    <col min="13" max="16384" width="9.00390625" style="36" customWidth="1"/>
  </cols>
  <sheetData>
    <row r="1" spans="1:6" ht="22.5" customHeight="1">
      <c r="A1" s="168" t="s">
        <v>104</v>
      </c>
      <c r="B1" s="168"/>
      <c r="C1" s="168"/>
      <c r="D1" s="168"/>
      <c r="E1" s="168"/>
      <c r="F1" s="168"/>
    </row>
    <row r="2" spans="1:6" ht="21.75" customHeight="1">
      <c r="A2" s="155" t="s">
        <v>114</v>
      </c>
      <c r="B2" s="155"/>
      <c r="C2" s="155" t="s">
        <v>105</v>
      </c>
      <c r="D2" s="155"/>
      <c r="E2" s="155"/>
      <c r="F2" s="155"/>
    </row>
    <row r="3" spans="1:6" ht="21.75" customHeight="1">
      <c r="A3" s="155" t="s">
        <v>89</v>
      </c>
      <c r="B3" s="155"/>
      <c r="C3" s="166" t="s">
        <v>111</v>
      </c>
      <c r="D3" s="155"/>
      <c r="E3" s="155"/>
      <c r="F3" s="155"/>
    </row>
    <row r="4" spans="1:6" ht="21.75" customHeight="1">
      <c r="A4" s="41"/>
      <c r="B4" s="41"/>
      <c r="C4" s="167" t="s">
        <v>151</v>
      </c>
      <c r="D4" s="167"/>
      <c r="E4" s="167"/>
      <c r="F4" s="167"/>
    </row>
    <row r="5" spans="1:6" ht="27.75" customHeight="1">
      <c r="A5" s="169" t="s">
        <v>112</v>
      </c>
      <c r="B5" s="170"/>
      <c r="C5" s="170"/>
      <c r="D5" s="170"/>
      <c r="E5" s="170"/>
      <c r="F5" s="170"/>
    </row>
    <row r="6" spans="1:6" ht="15.75">
      <c r="A6" s="157" t="s">
        <v>25</v>
      </c>
      <c r="B6" s="157"/>
      <c r="C6" s="157"/>
      <c r="D6" s="157"/>
      <c r="E6" s="157"/>
      <c r="F6" s="157"/>
    </row>
    <row r="7" spans="1:6" ht="39.75" customHeight="1">
      <c r="A7" s="162" t="s">
        <v>108</v>
      </c>
      <c r="B7" s="163"/>
      <c r="C7" s="163"/>
      <c r="D7" s="163"/>
      <c r="E7" s="163"/>
      <c r="F7" s="163"/>
    </row>
    <row r="8" spans="1:6" ht="66.75" customHeight="1">
      <c r="A8" s="164" t="s">
        <v>109</v>
      </c>
      <c r="B8" s="165"/>
      <c r="C8" s="165"/>
      <c r="D8" s="165"/>
      <c r="E8" s="165"/>
      <c r="F8" s="165"/>
    </row>
    <row r="9" spans="1:6" ht="34.5" customHeight="1">
      <c r="A9" s="162" t="s">
        <v>136</v>
      </c>
      <c r="B9" s="162"/>
      <c r="C9" s="162"/>
      <c r="D9" s="162"/>
      <c r="E9" s="162"/>
      <c r="F9" s="162"/>
    </row>
    <row r="10" spans="1:6" ht="15.75">
      <c r="A10" s="158" t="s">
        <v>87</v>
      </c>
      <c r="B10" s="158"/>
      <c r="C10" s="158"/>
      <c r="D10" s="158"/>
      <c r="E10" s="158"/>
      <c r="F10" s="158"/>
    </row>
    <row r="11" spans="1:6" ht="15.75" customHeight="1">
      <c r="A11" s="152" t="s">
        <v>2</v>
      </c>
      <c r="B11" s="152" t="s">
        <v>3</v>
      </c>
      <c r="C11" s="152" t="s">
        <v>26</v>
      </c>
      <c r="D11" s="152" t="s">
        <v>141</v>
      </c>
      <c r="E11" s="159" t="s">
        <v>106</v>
      </c>
      <c r="F11" s="160" t="s">
        <v>107</v>
      </c>
    </row>
    <row r="12" spans="1:6" ht="75" customHeight="1">
      <c r="A12" s="152"/>
      <c r="B12" s="152"/>
      <c r="C12" s="152"/>
      <c r="D12" s="152"/>
      <c r="E12" s="159"/>
      <c r="F12" s="161"/>
    </row>
    <row r="13" spans="1:6" ht="22.5" customHeight="1" hidden="1">
      <c r="A13" s="15">
        <v>1</v>
      </c>
      <c r="B13" s="16" t="s">
        <v>9</v>
      </c>
      <c r="C13" s="15"/>
      <c r="D13" s="15"/>
      <c r="E13" s="57"/>
      <c r="F13" s="57"/>
    </row>
    <row r="14" spans="1:6" ht="22.5" customHeight="1" hidden="1">
      <c r="A14" s="15">
        <v>1.1</v>
      </c>
      <c r="B14" s="16" t="s">
        <v>10</v>
      </c>
      <c r="C14" s="15"/>
      <c r="D14" s="15"/>
      <c r="E14" s="57"/>
      <c r="F14" s="57"/>
    </row>
    <row r="15" spans="1:6" ht="22.5" customHeight="1" hidden="1">
      <c r="A15" s="15"/>
      <c r="B15" s="16" t="s">
        <v>11</v>
      </c>
      <c r="C15" s="15"/>
      <c r="D15" s="15"/>
      <c r="E15" s="57"/>
      <c r="F15" s="57"/>
    </row>
    <row r="16" spans="1:6" ht="22.5" customHeight="1" hidden="1">
      <c r="A16" s="15"/>
      <c r="B16" s="16" t="s">
        <v>12</v>
      </c>
      <c r="C16" s="15"/>
      <c r="D16" s="15"/>
      <c r="E16" s="57"/>
      <c r="F16" s="57"/>
    </row>
    <row r="17" spans="1:6" ht="22.5" customHeight="1" hidden="1">
      <c r="A17" s="15"/>
      <c r="B17" s="16" t="s">
        <v>27</v>
      </c>
      <c r="C17" s="15"/>
      <c r="D17" s="15"/>
      <c r="E17" s="57"/>
      <c r="F17" s="57"/>
    </row>
    <row r="18" spans="1:6" ht="22.5" customHeight="1" hidden="1">
      <c r="A18" s="15">
        <v>1.2</v>
      </c>
      <c r="B18" s="16" t="s">
        <v>13</v>
      </c>
      <c r="C18" s="15"/>
      <c r="D18" s="15"/>
      <c r="E18" s="57"/>
      <c r="F18" s="57"/>
    </row>
    <row r="19" spans="1:6" ht="22.5" customHeight="1" hidden="1">
      <c r="A19" s="15"/>
      <c r="B19" s="16" t="s">
        <v>14</v>
      </c>
      <c r="C19" s="15"/>
      <c r="D19" s="15"/>
      <c r="E19" s="57"/>
      <c r="F19" s="57"/>
    </row>
    <row r="20" spans="1:6" ht="22.5" customHeight="1" hidden="1">
      <c r="A20" s="15"/>
      <c r="B20" s="16" t="s">
        <v>15</v>
      </c>
      <c r="C20" s="15"/>
      <c r="D20" s="15"/>
      <c r="E20" s="57"/>
      <c r="F20" s="57"/>
    </row>
    <row r="21" spans="1:6" ht="22.5" customHeight="1" hidden="1">
      <c r="A21" s="15"/>
      <c r="B21" s="16" t="s">
        <v>27</v>
      </c>
      <c r="C21" s="15"/>
      <c r="D21" s="15"/>
      <c r="E21" s="57"/>
      <c r="F21" s="57"/>
    </row>
    <row r="22" spans="1:6" ht="22.5" customHeight="1" hidden="1">
      <c r="A22" s="15">
        <v>2</v>
      </c>
      <c r="B22" s="16" t="s">
        <v>16</v>
      </c>
      <c r="C22" s="15"/>
      <c r="D22" s="15"/>
      <c r="E22" s="57"/>
      <c r="F22" s="57"/>
    </row>
    <row r="23" spans="1:6" ht="22.5" customHeight="1" hidden="1">
      <c r="A23" s="15">
        <v>2.1</v>
      </c>
      <c r="B23" s="16" t="s">
        <v>28</v>
      </c>
      <c r="C23" s="15"/>
      <c r="D23" s="15"/>
      <c r="E23" s="57"/>
      <c r="F23" s="57"/>
    </row>
    <row r="24" spans="1:6" ht="22.5" customHeight="1" hidden="1">
      <c r="A24" s="15" t="s">
        <v>17</v>
      </c>
      <c r="B24" s="16" t="s">
        <v>18</v>
      </c>
      <c r="C24" s="15"/>
      <c r="D24" s="15"/>
      <c r="E24" s="57"/>
      <c r="F24" s="57"/>
    </row>
    <row r="25" spans="1:6" ht="22.5" customHeight="1" hidden="1">
      <c r="A25" s="15" t="s">
        <v>19</v>
      </c>
      <c r="B25" s="16" t="s">
        <v>6</v>
      </c>
      <c r="C25" s="15"/>
      <c r="D25" s="15"/>
      <c r="E25" s="57"/>
      <c r="F25" s="57"/>
    </row>
    <row r="26" spans="1:6" ht="22.5" customHeight="1" hidden="1">
      <c r="A26" s="15">
        <v>2.2</v>
      </c>
      <c r="B26" s="16" t="s">
        <v>4</v>
      </c>
      <c r="C26" s="15"/>
      <c r="D26" s="15"/>
      <c r="E26" s="57"/>
      <c r="F26" s="57"/>
    </row>
    <row r="27" spans="1:6" ht="22.5" customHeight="1" hidden="1">
      <c r="A27" s="15" t="s">
        <v>17</v>
      </c>
      <c r="B27" s="16" t="s">
        <v>20</v>
      </c>
      <c r="C27" s="15"/>
      <c r="D27" s="15"/>
      <c r="E27" s="57"/>
      <c r="F27" s="57"/>
    </row>
    <row r="28" spans="1:6" ht="22.5" customHeight="1" hidden="1">
      <c r="A28" s="15" t="s">
        <v>19</v>
      </c>
      <c r="B28" s="16" t="s">
        <v>5</v>
      </c>
      <c r="C28" s="15"/>
      <c r="D28" s="15"/>
      <c r="E28" s="57"/>
      <c r="F28" s="57"/>
    </row>
    <row r="29" spans="1:6" ht="22.5" customHeight="1" hidden="1">
      <c r="A29" s="15">
        <v>3</v>
      </c>
      <c r="B29" s="16" t="s">
        <v>21</v>
      </c>
      <c r="C29" s="15"/>
      <c r="D29" s="15"/>
      <c r="E29" s="57"/>
      <c r="F29" s="57"/>
    </row>
    <row r="30" spans="1:6" ht="22.5" customHeight="1" hidden="1">
      <c r="A30" s="15">
        <v>3.1</v>
      </c>
      <c r="B30" s="16" t="s">
        <v>10</v>
      </c>
      <c r="C30" s="15"/>
      <c r="D30" s="15"/>
      <c r="E30" s="57"/>
      <c r="F30" s="57"/>
    </row>
    <row r="31" spans="1:6" ht="22.5" customHeight="1" hidden="1">
      <c r="A31" s="15"/>
      <c r="B31" s="16" t="s">
        <v>11</v>
      </c>
      <c r="C31" s="15"/>
      <c r="D31" s="15"/>
      <c r="E31" s="57"/>
      <c r="F31" s="57"/>
    </row>
    <row r="32" spans="1:6" ht="22.5" customHeight="1" hidden="1">
      <c r="A32" s="15"/>
      <c r="B32" s="16" t="s">
        <v>12</v>
      </c>
      <c r="C32" s="15"/>
      <c r="D32" s="15"/>
      <c r="E32" s="57"/>
      <c r="F32" s="57"/>
    </row>
    <row r="33" spans="1:6" ht="22.5" customHeight="1" hidden="1">
      <c r="A33" s="15"/>
      <c r="B33" s="16" t="s">
        <v>27</v>
      </c>
      <c r="C33" s="15"/>
      <c r="D33" s="15"/>
      <c r="E33" s="57"/>
      <c r="F33" s="57"/>
    </row>
    <row r="34" spans="1:6" ht="22.5" customHeight="1" hidden="1">
      <c r="A34" s="15">
        <v>3.2</v>
      </c>
      <c r="B34" s="16" t="s">
        <v>13</v>
      </c>
      <c r="C34" s="15"/>
      <c r="D34" s="15"/>
      <c r="E34" s="57"/>
      <c r="F34" s="57"/>
    </row>
    <row r="35" spans="1:6" ht="22.5" customHeight="1" hidden="1">
      <c r="A35" s="15"/>
      <c r="B35" s="16" t="s">
        <v>14</v>
      </c>
      <c r="C35" s="15"/>
      <c r="D35" s="15"/>
      <c r="E35" s="57"/>
      <c r="F35" s="57"/>
    </row>
    <row r="36" spans="1:6" ht="22.5" customHeight="1" hidden="1">
      <c r="A36" s="15"/>
      <c r="B36" s="16" t="s">
        <v>15</v>
      </c>
      <c r="C36" s="15"/>
      <c r="D36" s="15"/>
      <c r="E36" s="57"/>
      <c r="F36" s="57"/>
    </row>
    <row r="37" spans="1:6" ht="22.5" customHeight="1" hidden="1">
      <c r="A37" s="15"/>
      <c r="B37" s="16" t="s">
        <v>27</v>
      </c>
      <c r="C37" s="15"/>
      <c r="D37" s="15"/>
      <c r="E37" s="57"/>
      <c r="F37" s="57"/>
    </row>
    <row r="38" spans="1:12" s="39" customFormat="1" ht="22.5" customHeight="1">
      <c r="A38" s="47" t="s">
        <v>1</v>
      </c>
      <c r="B38" s="48" t="s">
        <v>22</v>
      </c>
      <c r="C38" s="17">
        <f>C39</f>
        <v>8070915000</v>
      </c>
      <c r="D38" s="17">
        <f>D39</f>
        <v>1764831947</v>
      </c>
      <c r="E38" s="60">
        <f>D38/C38</f>
        <v>0.21866565897423032</v>
      </c>
      <c r="F38" s="59">
        <f>G38/D38</f>
        <v>0</v>
      </c>
      <c r="G38" s="68"/>
      <c r="H38" s="68"/>
      <c r="I38" s="68"/>
      <c r="J38" s="68"/>
      <c r="K38" s="68"/>
      <c r="L38" s="68"/>
    </row>
    <row r="39" spans="1:12" s="39" customFormat="1" ht="36" customHeight="1">
      <c r="A39" s="47">
        <v>1</v>
      </c>
      <c r="B39" s="48" t="s">
        <v>7</v>
      </c>
      <c r="C39" s="17">
        <f>C40+C61+C131</f>
        <v>8070915000</v>
      </c>
      <c r="D39" s="17">
        <f>D40+D61+D131</f>
        <v>1764831947</v>
      </c>
      <c r="E39" s="60">
        <f>D39/C39</f>
        <v>0.21866565897423032</v>
      </c>
      <c r="F39" s="59">
        <f>G39/D39</f>
        <v>1.1486579311112164</v>
      </c>
      <c r="G39" s="17">
        <f>G40+G61+G131</f>
        <v>2027188213</v>
      </c>
      <c r="H39" s="68"/>
      <c r="I39" s="68"/>
      <c r="J39" s="68"/>
      <c r="K39" s="68"/>
      <c r="L39" s="68"/>
    </row>
    <row r="40" spans="1:12" s="39" customFormat="1" ht="22.5" customHeight="1">
      <c r="A40" s="47">
        <v>1.1</v>
      </c>
      <c r="B40" s="48" t="s">
        <v>20</v>
      </c>
      <c r="C40" s="17">
        <f>C41+C44+C46+C51+C54+C59+C77+C81+C85+C90+C94+C100+C104+C111+C116+C125</f>
        <v>5930274000</v>
      </c>
      <c r="D40" s="17">
        <f>D41+D46+D51+D54+D59+D77+D81+D85+D90+D94+D100+D104+D111+D116+D125</f>
        <v>1307051805</v>
      </c>
      <c r="E40" s="60">
        <f>D40/C40</f>
        <v>0.22040327394653267</v>
      </c>
      <c r="F40" s="59">
        <f>G40/D40</f>
        <v>1.365651157950851</v>
      </c>
      <c r="G40" s="17">
        <f>G41+G46+G51+G54+G59+G77+G81+G85+G90+G94+G100+G104+G111+G116+G125</f>
        <v>1784976811</v>
      </c>
      <c r="H40" s="68">
        <v>1393598782</v>
      </c>
      <c r="I40" s="68">
        <f>H40-D40</f>
        <v>86546977</v>
      </c>
      <c r="J40" s="68"/>
      <c r="K40" s="68"/>
      <c r="L40" s="68"/>
    </row>
    <row r="41" spans="1:12" s="37" customFormat="1" ht="22.5" customHeight="1">
      <c r="A41" s="18">
        <v>6000</v>
      </c>
      <c r="B41" s="18" t="s">
        <v>35</v>
      </c>
      <c r="C41" s="19">
        <f>SUM(C42:C43)</f>
        <v>2235499200</v>
      </c>
      <c r="D41" s="38">
        <f>SUM(D42:D43)</f>
        <v>698935000</v>
      </c>
      <c r="E41" s="59"/>
      <c r="F41" s="59">
        <f>G41/D41</f>
        <v>1.101304556217674</v>
      </c>
      <c r="G41" s="67">
        <v>769740300</v>
      </c>
      <c r="H41" s="67"/>
      <c r="I41" s="67"/>
      <c r="J41" s="67"/>
      <c r="K41" s="67"/>
      <c r="L41" s="67"/>
    </row>
    <row r="42" spans="1:12" s="37" customFormat="1" ht="22.5" customHeight="1">
      <c r="A42" s="11">
        <v>6001</v>
      </c>
      <c r="B42" s="11" t="s">
        <v>30</v>
      </c>
      <c r="C42" s="20">
        <f>2235499200-178765200</f>
        <v>2056734000</v>
      </c>
      <c r="D42" s="71">
        <v>520169800</v>
      </c>
      <c r="E42" s="60">
        <f>D42/C42</f>
        <v>0.2529105854232973</v>
      </c>
      <c r="F42" s="60"/>
      <c r="G42" s="67"/>
      <c r="H42" s="67"/>
      <c r="I42" s="67"/>
      <c r="J42" s="67"/>
      <c r="K42" s="67"/>
      <c r="L42" s="67"/>
    </row>
    <row r="43" spans="1:12" s="37" customFormat="1" ht="22.5" customHeight="1">
      <c r="A43" s="11">
        <v>6003</v>
      </c>
      <c r="B43" s="11" t="s">
        <v>31</v>
      </c>
      <c r="C43" s="20">
        <v>178765200</v>
      </c>
      <c r="D43" s="71">
        <v>178765200</v>
      </c>
      <c r="E43" s="60">
        <f>D43/C43</f>
        <v>1</v>
      </c>
      <c r="F43" s="60"/>
      <c r="G43" s="67"/>
      <c r="H43" s="67"/>
      <c r="I43" s="67"/>
      <c r="J43" s="67"/>
      <c r="K43" s="67"/>
      <c r="L43" s="67"/>
    </row>
    <row r="44" spans="1:12" s="39" customFormat="1" ht="33.75" customHeight="1">
      <c r="A44" s="21">
        <v>6050</v>
      </c>
      <c r="B44" s="24" t="s">
        <v>138</v>
      </c>
      <c r="C44" s="75">
        <f>C45</f>
        <v>365052000</v>
      </c>
      <c r="D44" s="76"/>
      <c r="E44" s="58"/>
      <c r="F44" s="58"/>
      <c r="G44" s="68"/>
      <c r="H44" s="68"/>
      <c r="I44" s="68"/>
      <c r="J44" s="68"/>
      <c r="K44" s="68"/>
      <c r="L44" s="68"/>
    </row>
    <row r="45" spans="1:12" s="37" customFormat="1" ht="35.25" customHeight="1">
      <c r="A45" s="11">
        <v>6051</v>
      </c>
      <c r="B45" s="29" t="s">
        <v>138</v>
      </c>
      <c r="C45" s="20">
        <v>365052000</v>
      </c>
      <c r="D45" s="71">
        <f>D44</f>
        <v>0</v>
      </c>
      <c r="E45" s="60"/>
      <c r="F45" s="60"/>
      <c r="G45" s="67"/>
      <c r="H45" s="67"/>
      <c r="I45" s="67"/>
      <c r="J45" s="67"/>
      <c r="K45" s="67"/>
      <c r="L45" s="67"/>
    </row>
    <row r="46" spans="1:12" s="37" customFormat="1" ht="22.5" customHeight="1">
      <c r="A46" s="18">
        <v>6100</v>
      </c>
      <c r="B46" s="18" t="s">
        <v>36</v>
      </c>
      <c r="C46" s="19">
        <f>SUM(C47:C50)+1</f>
        <v>1308230786</v>
      </c>
      <c r="D46" s="38">
        <f>SUM(D47:D50)</f>
        <v>357643817</v>
      </c>
      <c r="E46" s="61"/>
      <c r="F46" s="59">
        <f>G46/D46</f>
        <v>1.4529697964832984</v>
      </c>
      <c r="G46" s="67">
        <v>519645664</v>
      </c>
      <c r="H46" s="67"/>
      <c r="I46" s="67"/>
      <c r="J46" s="67"/>
      <c r="K46" s="67"/>
      <c r="L46" s="67"/>
    </row>
    <row r="47" spans="1:12" s="37" customFormat="1" ht="22.5" customHeight="1">
      <c r="A47" s="11">
        <v>6101</v>
      </c>
      <c r="B47" s="11" t="s">
        <v>32</v>
      </c>
      <c r="C47" s="20">
        <v>47190000</v>
      </c>
      <c r="D47" s="71">
        <v>12512000</v>
      </c>
      <c r="E47" s="60">
        <f>D47/C47</f>
        <v>0.2651409196863742</v>
      </c>
      <c r="F47" s="60"/>
      <c r="G47" s="67"/>
      <c r="H47" s="67"/>
      <c r="I47" s="67"/>
      <c r="J47" s="67"/>
      <c r="K47" s="67"/>
      <c r="L47" s="67"/>
    </row>
    <row r="48" spans="1:12" s="37" customFormat="1" ht="22.5" customHeight="1">
      <c r="A48" s="11">
        <v>6112</v>
      </c>
      <c r="B48" s="11" t="s">
        <v>33</v>
      </c>
      <c r="C48" s="20">
        <v>814246243</v>
      </c>
      <c r="D48" s="71">
        <v>221122285</v>
      </c>
      <c r="E48" s="60">
        <f>D48/C48</f>
        <v>0.27156684713127993</v>
      </c>
      <c r="F48" s="60"/>
      <c r="G48" s="67"/>
      <c r="H48" s="67"/>
      <c r="I48" s="67"/>
      <c r="J48" s="67"/>
      <c r="K48" s="67"/>
      <c r="L48" s="67"/>
    </row>
    <row r="49" spans="1:12" s="37" customFormat="1" ht="22.5" customHeight="1">
      <c r="A49" s="11">
        <v>6113</v>
      </c>
      <c r="B49" s="11" t="s">
        <v>34</v>
      </c>
      <c r="C49" s="20">
        <v>7260000</v>
      </c>
      <c r="D49" s="71">
        <v>1955000</v>
      </c>
      <c r="E49" s="60">
        <f>D49/C49</f>
        <v>0.2692837465564738</v>
      </c>
      <c r="F49" s="60"/>
      <c r="G49" s="67"/>
      <c r="H49" s="67"/>
      <c r="I49" s="67"/>
      <c r="J49" s="67"/>
      <c r="K49" s="67"/>
      <c r="L49" s="67"/>
    </row>
    <row r="50" spans="1:12" s="37" customFormat="1" ht="22.5" customHeight="1">
      <c r="A50" s="11">
        <v>6115</v>
      </c>
      <c r="B50" s="11" t="s">
        <v>95</v>
      </c>
      <c r="C50" s="20">
        <v>439534542</v>
      </c>
      <c r="D50" s="71">
        <v>122054532</v>
      </c>
      <c r="E50" s="60">
        <f>D50/C50</f>
        <v>0.2776904209726479</v>
      </c>
      <c r="F50" s="60"/>
      <c r="G50" s="67"/>
      <c r="H50" s="67"/>
      <c r="I50" s="67"/>
      <c r="J50" s="67"/>
      <c r="K50" s="67"/>
      <c r="L50" s="67"/>
    </row>
    <row r="51" spans="1:12" s="37" customFormat="1" ht="22.5" customHeight="1">
      <c r="A51" s="18">
        <v>6250</v>
      </c>
      <c r="B51" s="18" t="s">
        <v>37</v>
      </c>
      <c r="C51" s="19">
        <f>SUM(C52:C53)</f>
        <v>7350000</v>
      </c>
      <c r="D51" s="38">
        <f>SUM(D52:D53)</f>
        <v>0</v>
      </c>
      <c r="E51" s="61"/>
      <c r="F51" s="59"/>
      <c r="G51" s="67">
        <v>4452000</v>
      </c>
      <c r="H51" s="67"/>
      <c r="I51" s="67"/>
      <c r="J51" s="67"/>
      <c r="K51" s="67"/>
      <c r="L51" s="67"/>
    </row>
    <row r="52" spans="1:12" s="37" customFormat="1" ht="22.5" customHeight="1">
      <c r="A52" s="11">
        <v>6253</v>
      </c>
      <c r="B52" s="11" t="s">
        <v>38</v>
      </c>
      <c r="C52" s="20">
        <v>3318000</v>
      </c>
      <c r="D52" s="72"/>
      <c r="E52" s="60">
        <f>(D52/C52)</f>
        <v>0</v>
      </c>
      <c r="F52" s="57"/>
      <c r="G52" s="67"/>
      <c r="H52" s="67"/>
      <c r="I52" s="67"/>
      <c r="J52" s="67"/>
      <c r="K52" s="67"/>
      <c r="L52" s="67"/>
    </row>
    <row r="53" spans="1:12" s="37" customFormat="1" ht="22.5" customHeight="1">
      <c r="A53" s="11">
        <v>6257</v>
      </c>
      <c r="B53" s="11" t="s">
        <v>39</v>
      </c>
      <c r="C53" s="20">
        <v>4032000</v>
      </c>
      <c r="D53" s="72"/>
      <c r="E53" s="60">
        <f>(D53/C53)</f>
        <v>0</v>
      </c>
      <c r="F53" s="57"/>
      <c r="G53" s="67"/>
      <c r="H53" s="67"/>
      <c r="I53" s="67"/>
      <c r="J53" s="67"/>
      <c r="K53" s="67"/>
      <c r="L53" s="67"/>
    </row>
    <row r="54" spans="1:12" s="37" customFormat="1" ht="22.5" customHeight="1">
      <c r="A54" s="18">
        <v>6300</v>
      </c>
      <c r="B54" s="18" t="s">
        <v>40</v>
      </c>
      <c r="C54" s="19">
        <f>SUM(C55:C58)</f>
        <v>725509494</v>
      </c>
      <c r="D54" s="38">
        <f>SUM(D55:D58)</f>
        <v>153141577</v>
      </c>
      <c r="E54" s="59"/>
      <c r="F54" s="59">
        <f>G54/D54</f>
        <v>1.3877816277156398</v>
      </c>
      <c r="G54" s="67">
        <v>212527067</v>
      </c>
      <c r="H54" s="67"/>
      <c r="I54" s="67"/>
      <c r="J54" s="67"/>
      <c r="K54" s="67"/>
      <c r="L54" s="67"/>
    </row>
    <row r="55" spans="1:12" s="37" customFormat="1" ht="22.5" customHeight="1">
      <c r="A55" s="11">
        <v>6301</v>
      </c>
      <c r="B55" s="11" t="s">
        <v>41</v>
      </c>
      <c r="C55" s="20">
        <v>540272950</v>
      </c>
      <c r="D55" s="72">
        <v>103329214</v>
      </c>
      <c r="E55" s="60">
        <f>D55/C55</f>
        <v>0.19125372462197118</v>
      </c>
      <c r="F55" s="60"/>
      <c r="G55" s="67"/>
      <c r="H55" s="67"/>
      <c r="I55" s="67"/>
      <c r="J55" s="67"/>
      <c r="K55" s="67"/>
      <c r="L55" s="67"/>
    </row>
    <row r="56" spans="1:12" s="37" customFormat="1" ht="22.5" customHeight="1">
      <c r="A56" s="11">
        <v>6302</v>
      </c>
      <c r="B56" s="11" t="s">
        <v>42</v>
      </c>
      <c r="C56" s="20">
        <v>92618272</v>
      </c>
      <c r="D56" s="72">
        <v>25005047</v>
      </c>
      <c r="E56" s="60">
        <f>D56/C56</f>
        <v>0.2699796320967854</v>
      </c>
      <c r="F56" s="60"/>
      <c r="G56" s="67"/>
      <c r="H56" s="67"/>
      <c r="I56" s="67"/>
      <c r="J56" s="67"/>
      <c r="K56" s="67"/>
      <c r="L56" s="67"/>
    </row>
    <row r="57" spans="1:12" s="37" customFormat="1" ht="22.5" customHeight="1">
      <c r="A57" s="11">
        <v>6303</v>
      </c>
      <c r="B57" s="11" t="s">
        <v>43</v>
      </c>
      <c r="C57" s="20">
        <v>61745515</v>
      </c>
      <c r="D57" s="72">
        <v>16670030</v>
      </c>
      <c r="E57" s="60">
        <f>D57/C57</f>
        <v>0.26997960904528856</v>
      </c>
      <c r="F57" s="60"/>
      <c r="G57" s="67"/>
      <c r="H57" s="67"/>
      <c r="I57" s="67"/>
      <c r="J57" s="67"/>
      <c r="K57" s="67"/>
      <c r="L57" s="67"/>
    </row>
    <row r="58" spans="1:12" s="37" customFormat="1" ht="22.5" customHeight="1">
      <c r="A58" s="11">
        <v>6304</v>
      </c>
      <c r="B58" s="11" t="s">
        <v>44</v>
      </c>
      <c r="C58" s="20">
        <v>30872757</v>
      </c>
      <c r="D58" s="72">
        <v>8137286</v>
      </c>
      <c r="E58" s="60">
        <f>D58/C58</f>
        <v>0.26357496999701063</v>
      </c>
      <c r="F58" s="60"/>
      <c r="G58" s="67"/>
      <c r="H58" s="67"/>
      <c r="I58" s="67"/>
      <c r="J58" s="67"/>
      <c r="K58" s="67"/>
      <c r="L58" s="67"/>
    </row>
    <row r="59" spans="1:12" s="37" customFormat="1" ht="22.5" customHeight="1">
      <c r="A59" s="53">
        <v>6400</v>
      </c>
      <c r="B59" s="54" t="s">
        <v>79</v>
      </c>
      <c r="C59" s="22">
        <f>C60</f>
        <v>107262520</v>
      </c>
      <c r="D59" s="73"/>
      <c r="E59" s="62"/>
      <c r="F59" s="62"/>
      <c r="G59" s="67"/>
      <c r="H59" s="67"/>
      <c r="I59" s="67"/>
      <c r="J59" s="67"/>
      <c r="K59" s="67"/>
      <c r="L59" s="67"/>
    </row>
    <row r="60" spans="1:12" s="37" customFormat="1" ht="22.5" customHeight="1">
      <c r="A60" s="55">
        <v>6404</v>
      </c>
      <c r="B60" s="70" t="s">
        <v>134</v>
      </c>
      <c r="C60" s="20">
        <v>107262520</v>
      </c>
      <c r="D60" s="72"/>
      <c r="E60" s="60">
        <f>D60/C60</f>
        <v>0</v>
      </c>
      <c r="F60" s="60"/>
      <c r="G60" s="67"/>
      <c r="H60" s="67"/>
      <c r="I60" s="67"/>
      <c r="J60" s="67"/>
      <c r="K60" s="67"/>
      <c r="L60" s="67"/>
    </row>
    <row r="61" spans="1:12" s="37" customFormat="1" ht="22.5" customHeight="1">
      <c r="A61" s="47">
        <v>1.2</v>
      </c>
      <c r="B61" s="48" t="s">
        <v>115</v>
      </c>
      <c r="C61" s="20">
        <f>C62+C65+C70+C75</f>
        <v>1097219000</v>
      </c>
      <c r="D61" s="72">
        <f>D62+D65+D70+D75</f>
        <v>221827598</v>
      </c>
      <c r="E61" s="60">
        <f>D61/C61</f>
        <v>0.20217258177264522</v>
      </c>
      <c r="F61" s="60"/>
      <c r="G61" s="67"/>
      <c r="H61" s="67"/>
      <c r="I61" s="67"/>
      <c r="J61" s="67"/>
      <c r="K61" s="67"/>
      <c r="L61" s="67"/>
    </row>
    <row r="62" spans="1:12" s="37" customFormat="1" ht="22.5" customHeight="1">
      <c r="A62" s="18">
        <v>6000</v>
      </c>
      <c r="B62" s="18" t="s">
        <v>35</v>
      </c>
      <c r="C62" s="19">
        <f>SUM(C63:C64)</f>
        <v>601809600</v>
      </c>
      <c r="D62" s="38">
        <f>SUM(D63:D64)</f>
        <v>100032800</v>
      </c>
      <c r="E62" s="59"/>
      <c r="F62" s="59"/>
      <c r="G62" s="67"/>
      <c r="H62" s="67"/>
      <c r="I62" s="67"/>
      <c r="J62" s="67"/>
      <c r="K62" s="67"/>
      <c r="L62" s="67"/>
    </row>
    <row r="63" spans="1:12" s="37" customFormat="1" ht="22.5" customHeight="1">
      <c r="A63" s="11">
        <v>6001</v>
      </c>
      <c r="B63" s="11" t="s">
        <v>30</v>
      </c>
      <c r="C63" s="20">
        <v>435489600</v>
      </c>
      <c r="D63" s="71">
        <v>74429600</v>
      </c>
      <c r="E63" s="60">
        <f>D63/C63</f>
        <v>0.17091016639662576</v>
      </c>
      <c r="F63" s="60"/>
      <c r="G63" s="67"/>
      <c r="H63" s="67"/>
      <c r="I63" s="67"/>
      <c r="J63" s="67"/>
      <c r="K63" s="67"/>
      <c r="L63" s="67"/>
    </row>
    <row r="64" spans="1:12" s="37" customFormat="1" ht="22.5" customHeight="1">
      <c r="A64" s="11">
        <v>6003</v>
      </c>
      <c r="B64" s="11" t="s">
        <v>31</v>
      </c>
      <c r="C64" s="20">
        <v>166320000</v>
      </c>
      <c r="D64" s="71">
        <v>25603200</v>
      </c>
      <c r="E64" s="60">
        <f>D64/C64</f>
        <v>0.15393939393939393</v>
      </c>
      <c r="F64" s="60"/>
      <c r="G64" s="67"/>
      <c r="H64" s="67"/>
      <c r="I64" s="67"/>
      <c r="J64" s="67"/>
      <c r="K64" s="67"/>
      <c r="L64" s="67"/>
    </row>
    <row r="65" spans="1:12" s="37" customFormat="1" ht="22.5" customHeight="1">
      <c r="A65" s="18">
        <v>6100</v>
      </c>
      <c r="B65" s="18" t="s">
        <v>36</v>
      </c>
      <c r="C65" s="19">
        <f>SUM(C66:C69)</f>
        <v>310420235</v>
      </c>
      <c r="D65" s="38">
        <f>SUM(D66:D69)</f>
        <v>51248092</v>
      </c>
      <c r="E65" s="61"/>
      <c r="F65" s="59"/>
      <c r="G65" s="67"/>
      <c r="H65" s="67"/>
      <c r="I65" s="67"/>
      <c r="J65" s="67"/>
      <c r="K65" s="67"/>
      <c r="L65" s="67"/>
    </row>
    <row r="66" spans="1:12" s="37" customFormat="1" ht="22.5" customHeight="1">
      <c r="A66" s="11">
        <v>6101</v>
      </c>
      <c r="B66" s="11" t="s">
        <v>32</v>
      </c>
      <c r="C66" s="20">
        <v>10920000</v>
      </c>
      <c r="D66" s="71">
        <v>1792000</v>
      </c>
      <c r="E66" s="60">
        <f>(D66/C66)</f>
        <v>0.1641025641025641</v>
      </c>
      <c r="F66" s="60"/>
      <c r="G66" s="67"/>
      <c r="H66" s="67"/>
      <c r="I66" s="67"/>
      <c r="J66" s="67"/>
      <c r="K66" s="67"/>
      <c r="L66" s="67"/>
    </row>
    <row r="67" spans="1:12" s="37" customFormat="1" ht="22.5" customHeight="1">
      <c r="A67" s="11">
        <v>6112</v>
      </c>
      <c r="B67" s="11" t="s">
        <v>33</v>
      </c>
      <c r="C67" s="20">
        <v>196109760</v>
      </c>
      <c r="D67" s="71">
        <v>31645040</v>
      </c>
      <c r="E67" s="60">
        <f>(D67/C67)</f>
        <v>0.16136392191801163</v>
      </c>
      <c r="F67" s="60"/>
      <c r="G67" s="67"/>
      <c r="H67" s="67"/>
      <c r="I67" s="67"/>
      <c r="J67" s="67"/>
      <c r="K67" s="67"/>
      <c r="L67" s="67"/>
    </row>
    <row r="68" spans="1:12" s="37" customFormat="1" ht="22.5" customHeight="1">
      <c r="A68" s="11">
        <v>6113</v>
      </c>
      <c r="B68" s="11" t="s">
        <v>34</v>
      </c>
      <c r="C68" s="20">
        <v>1680000</v>
      </c>
      <c r="D68" s="71">
        <v>280000</v>
      </c>
      <c r="E68" s="60">
        <f>(D68/C68)</f>
        <v>0.16666666666666666</v>
      </c>
      <c r="F68" s="60"/>
      <c r="G68" s="67"/>
      <c r="H68" s="67"/>
      <c r="I68" s="67"/>
      <c r="J68" s="67"/>
      <c r="K68" s="67"/>
      <c r="L68" s="67"/>
    </row>
    <row r="69" spans="1:12" s="37" customFormat="1" ht="22.5" customHeight="1">
      <c r="A69" s="11">
        <v>6115</v>
      </c>
      <c r="B69" s="11" t="s">
        <v>95</v>
      </c>
      <c r="C69" s="20">
        <v>101710475</v>
      </c>
      <c r="D69" s="71">
        <v>17531052</v>
      </c>
      <c r="E69" s="60">
        <f>(D69/C69)</f>
        <v>0.1723623058490288</v>
      </c>
      <c r="F69" s="60"/>
      <c r="G69" s="67"/>
      <c r="H69" s="67"/>
      <c r="I69" s="67"/>
      <c r="J69" s="67"/>
      <c r="K69" s="67"/>
      <c r="L69" s="67"/>
    </row>
    <row r="70" spans="1:12" s="37" customFormat="1" ht="22.5" customHeight="1">
      <c r="A70" s="18">
        <v>6300</v>
      </c>
      <c r="B70" s="18" t="s">
        <v>40</v>
      </c>
      <c r="C70" s="19">
        <f>SUM(C71:C74)</f>
        <v>167893112</v>
      </c>
      <c r="D70" s="38">
        <f>SUM(D71:D74)</f>
        <v>70546706</v>
      </c>
      <c r="E70" s="59"/>
      <c r="F70" s="59"/>
      <c r="G70" s="67"/>
      <c r="H70" s="67"/>
      <c r="I70" s="67"/>
      <c r="J70" s="67"/>
      <c r="K70" s="67"/>
      <c r="L70" s="67"/>
    </row>
    <row r="71" spans="1:12" s="37" customFormat="1" ht="22.5" customHeight="1">
      <c r="A71" s="11">
        <v>6301</v>
      </c>
      <c r="B71" s="11" t="s">
        <v>41</v>
      </c>
      <c r="C71" s="20">
        <v>125026708</v>
      </c>
      <c r="D71" s="72">
        <v>63420828</v>
      </c>
      <c r="E71" s="60">
        <f>(D71/C71)</f>
        <v>0.5072582411751575</v>
      </c>
      <c r="F71" s="60"/>
      <c r="G71" s="67"/>
      <c r="H71" s="67"/>
      <c r="I71" s="67"/>
      <c r="J71" s="67"/>
      <c r="K71" s="67"/>
      <c r="L71" s="67"/>
    </row>
    <row r="72" spans="1:12" s="37" customFormat="1" ht="22.5" customHeight="1">
      <c r="A72" s="11">
        <v>6302</v>
      </c>
      <c r="B72" s="11" t="s">
        <v>42</v>
      </c>
      <c r="C72" s="20">
        <v>21433202</v>
      </c>
      <c r="D72" s="72">
        <v>3580676</v>
      </c>
      <c r="E72" s="60">
        <f>(D72/C72)</f>
        <v>0.1670621123246074</v>
      </c>
      <c r="F72" s="60"/>
      <c r="G72" s="67"/>
      <c r="H72" s="67"/>
      <c r="I72" s="67"/>
      <c r="J72" s="67"/>
      <c r="K72" s="67"/>
      <c r="L72" s="67"/>
    </row>
    <row r="73" spans="1:12" s="37" customFormat="1" ht="22.5" customHeight="1">
      <c r="A73" s="11">
        <v>6303</v>
      </c>
      <c r="B73" s="11" t="s">
        <v>43</v>
      </c>
      <c r="C73" s="20">
        <v>14288801</v>
      </c>
      <c r="D73" s="72">
        <v>2387117</v>
      </c>
      <c r="E73" s="60">
        <f>(D73/C73)</f>
        <v>0.16706209289358848</v>
      </c>
      <c r="F73" s="60"/>
      <c r="G73" s="67"/>
      <c r="H73" s="67"/>
      <c r="I73" s="67"/>
      <c r="J73" s="67"/>
      <c r="K73" s="67"/>
      <c r="L73" s="67"/>
    </row>
    <row r="74" spans="1:12" s="37" customFormat="1" ht="22.5" customHeight="1">
      <c r="A74" s="11">
        <v>6304</v>
      </c>
      <c r="B74" s="11" t="s">
        <v>44</v>
      </c>
      <c r="C74" s="20">
        <v>7144401</v>
      </c>
      <c r="D74" s="72">
        <v>1158085</v>
      </c>
      <c r="E74" s="60">
        <f>(D74/C74)</f>
        <v>0.1620968643837321</v>
      </c>
      <c r="F74" s="60"/>
      <c r="G74" s="67"/>
      <c r="H74" s="67"/>
      <c r="I74" s="67"/>
      <c r="J74" s="67"/>
      <c r="K74" s="67"/>
      <c r="L74" s="67"/>
    </row>
    <row r="75" spans="1:12" s="52" customFormat="1" ht="22.5" customHeight="1">
      <c r="A75" s="18">
        <v>7750</v>
      </c>
      <c r="B75" s="18" t="s">
        <v>129</v>
      </c>
      <c r="C75" s="19">
        <f>C76</f>
        <v>17096053</v>
      </c>
      <c r="D75" s="38"/>
      <c r="E75" s="59"/>
      <c r="F75" s="59"/>
      <c r="G75" s="69"/>
      <c r="H75" s="69"/>
      <c r="I75" s="69"/>
      <c r="J75" s="69"/>
      <c r="K75" s="69"/>
      <c r="L75" s="69"/>
    </row>
    <row r="76" spans="1:12" s="37" customFormat="1" ht="22.5" customHeight="1">
      <c r="A76" s="11">
        <v>7799</v>
      </c>
      <c r="B76" s="11" t="s">
        <v>130</v>
      </c>
      <c r="C76" s="20">
        <v>17096053</v>
      </c>
      <c r="D76" s="72"/>
      <c r="E76" s="60"/>
      <c r="F76" s="60"/>
      <c r="G76" s="67"/>
      <c r="H76" s="67"/>
      <c r="I76" s="67"/>
      <c r="J76" s="67"/>
      <c r="K76" s="67"/>
      <c r="L76" s="67"/>
    </row>
    <row r="77" spans="1:12" s="37" customFormat="1" ht="22.5" customHeight="1">
      <c r="A77" s="18">
        <v>6500</v>
      </c>
      <c r="B77" s="18" t="s">
        <v>45</v>
      </c>
      <c r="C77" s="26">
        <f>SUM(C78:C80)</f>
        <v>111900000</v>
      </c>
      <c r="D77" s="13">
        <f>SUM(D78:D80)</f>
        <v>8396311</v>
      </c>
      <c r="E77" s="59"/>
      <c r="F77" s="59">
        <f>G77/D77</f>
        <v>3.2268671324823486</v>
      </c>
      <c r="G77" s="67">
        <v>27093780</v>
      </c>
      <c r="H77" s="67"/>
      <c r="I77" s="67"/>
      <c r="J77" s="67"/>
      <c r="K77" s="67"/>
      <c r="L77" s="67"/>
    </row>
    <row r="78" spans="1:12" s="37" customFormat="1" ht="22.5" customHeight="1">
      <c r="A78" s="11">
        <v>6501</v>
      </c>
      <c r="B78" s="11" t="s">
        <v>46</v>
      </c>
      <c r="C78" s="27">
        <v>90000000</v>
      </c>
      <c r="D78" s="72">
        <v>8396311</v>
      </c>
      <c r="E78" s="60">
        <f>(D78/C78)</f>
        <v>0.09329234444444444</v>
      </c>
      <c r="F78" s="60"/>
      <c r="G78" s="67"/>
      <c r="H78" s="67"/>
      <c r="I78" s="67"/>
      <c r="J78" s="67"/>
      <c r="K78" s="67"/>
      <c r="L78" s="67"/>
    </row>
    <row r="79" spans="1:12" s="37" customFormat="1" ht="22.5" customHeight="1">
      <c r="A79" s="11">
        <v>6502</v>
      </c>
      <c r="B79" s="11" t="s">
        <v>47</v>
      </c>
      <c r="C79" s="27">
        <v>4800000</v>
      </c>
      <c r="D79" s="72"/>
      <c r="E79" s="60">
        <f>(D79/C79)</f>
        <v>0</v>
      </c>
      <c r="F79" s="60"/>
      <c r="G79" s="67"/>
      <c r="H79" s="67"/>
      <c r="I79" s="67"/>
      <c r="J79" s="67"/>
      <c r="K79" s="67"/>
      <c r="L79" s="67"/>
    </row>
    <row r="80" spans="1:12" s="37" customFormat="1" ht="22.5" customHeight="1">
      <c r="A80" s="11">
        <v>6504</v>
      </c>
      <c r="B80" s="11" t="s">
        <v>48</v>
      </c>
      <c r="C80" s="27">
        <v>17100000</v>
      </c>
      <c r="D80" s="72"/>
      <c r="E80" s="60">
        <f>(D80/C80)</f>
        <v>0</v>
      </c>
      <c r="F80" s="60"/>
      <c r="G80" s="67"/>
      <c r="H80" s="67"/>
      <c r="I80" s="67"/>
      <c r="J80" s="67"/>
      <c r="K80" s="67"/>
      <c r="L80" s="67"/>
    </row>
    <row r="81" spans="1:12" s="37" customFormat="1" ht="22.5" customHeight="1">
      <c r="A81" s="18">
        <v>6550</v>
      </c>
      <c r="B81" s="18" t="s">
        <v>49</v>
      </c>
      <c r="C81" s="13">
        <f>SUM(C82:C84)</f>
        <v>124562200</v>
      </c>
      <c r="D81" s="13">
        <f>SUM(D82:D84)</f>
        <v>15551000</v>
      </c>
      <c r="E81" s="59"/>
      <c r="F81" s="59">
        <f>G81/D81</f>
        <v>1.7979551154266606</v>
      </c>
      <c r="G81" s="67">
        <v>27960000</v>
      </c>
      <c r="H81" s="67"/>
      <c r="I81" s="67"/>
      <c r="J81" s="67"/>
      <c r="K81" s="67"/>
      <c r="L81" s="67"/>
    </row>
    <row r="82" spans="1:12" s="37" customFormat="1" ht="22.5" customHeight="1">
      <c r="A82" s="11">
        <v>6551</v>
      </c>
      <c r="B82" s="11" t="s">
        <v>50</v>
      </c>
      <c r="C82" s="27">
        <v>43212200</v>
      </c>
      <c r="D82" s="72">
        <v>8995000</v>
      </c>
      <c r="E82" s="60">
        <f>D82/C82</f>
        <v>0.2081588070035777</v>
      </c>
      <c r="F82" s="60"/>
      <c r="G82" s="67"/>
      <c r="H82" s="67"/>
      <c r="I82" s="67"/>
      <c r="J82" s="67"/>
      <c r="K82" s="67"/>
      <c r="L82" s="67"/>
    </row>
    <row r="83" spans="1:12" s="37" customFormat="1" ht="22.5" customHeight="1">
      <c r="A83" s="11">
        <v>6552</v>
      </c>
      <c r="B83" s="11" t="s">
        <v>51</v>
      </c>
      <c r="C83" s="27">
        <v>10200000</v>
      </c>
      <c r="D83" s="72"/>
      <c r="E83" s="60">
        <f>D83/C83</f>
        <v>0</v>
      </c>
      <c r="F83" s="60"/>
      <c r="G83" s="67"/>
      <c r="H83" s="67"/>
      <c r="I83" s="67"/>
      <c r="J83" s="67"/>
      <c r="K83" s="67"/>
      <c r="L83" s="67"/>
    </row>
    <row r="84" spans="1:12" s="37" customFormat="1" ht="22.5" customHeight="1">
      <c r="A84" s="11">
        <v>6559</v>
      </c>
      <c r="B84" s="11" t="s">
        <v>52</v>
      </c>
      <c r="C84" s="27">
        <v>71150000</v>
      </c>
      <c r="D84" s="72">
        <v>6556000</v>
      </c>
      <c r="E84" s="60">
        <f>D84/C84</f>
        <v>0.09214335910049191</v>
      </c>
      <c r="F84" s="80"/>
      <c r="G84" s="67"/>
      <c r="H84" s="67"/>
      <c r="I84" s="67"/>
      <c r="J84" s="67"/>
      <c r="K84" s="67"/>
      <c r="L84" s="67"/>
    </row>
    <row r="85" spans="1:12" s="37" customFormat="1" ht="22.5" customHeight="1">
      <c r="A85" s="18">
        <v>6600</v>
      </c>
      <c r="B85" s="18" t="s">
        <v>53</v>
      </c>
      <c r="C85" s="13">
        <f>SUM(C86:C89)</f>
        <v>24000000</v>
      </c>
      <c r="D85" s="13">
        <f>SUM(D86:D89)</f>
        <v>2316000</v>
      </c>
      <c r="E85" s="59"/>
      <c r="F85" s="59">
        <f>G85/D85</f>
        <v>1</v>
      </c>
      <c r="G85" s="67">
        <v>2316000</v>
      </c>
      <c r="H85" s="67"/>
      <c r="I85" s="67"/>
      <c r="J85" s="67"/>
      <c r="K85" s="67"/>
      <c r="L85" s="67"/>
    </row>
    <row r="86" spans="1:12" s="37" customFormat="1" ht="22.5" customHeight="1">
      <c r="A86" s="11">
        <v>6601</v>
      </c>
      <c r="B86" s="11" t="s">
        <v>54</v>
      </c>
      <c r="C86" s="27">
        <v>3600000</v>
      </c>
      <c r="D86" s="72">
        <v>66000</v>
      </c>
      <c r="E86" s="60">
        <f>(D86/C86)</f>
        <v>0.018333333333333333</v>
      </c>
      <c r="F86" s="60"/>
      <c r="G86" s="67"/>
      <c r="H86" s="67"/>
      <c r="I86" s="67"/>
      <c r="J86" s="67"/>
      <c r="K86" s="67"/>
      <c r="L86" s="67"/>
    </row>
    <row r="87" spans="1:12" s="37" customFormat="1" ht="22.5" customHeight="1">
      <c r="A87" s="11">
        <v>6605</v>
      </c>
      <c r="B87" s="11" t="s">
        <v>56</v>
      </c>
      <c r="C87" s="27">
        <v>8400000</v>
      </c>
      <c r="D87" s="72"/>
      <c r="E87" s="60">
        <f>(D87/C87)</f>
        <v>0</v>
      </c>
      <c r="F87" s="60"/>
      <c r="G87" s="67"/>
      <c r="H87" s="67"/>
      <c r="I87" s="67"/>
      <c r="J87" s="67"/>
      <c r="K87" s="67"/>
      <c r="L87" s="67"/>
    </row>
    <row r="88" spans="1:12" s="37" customFormat="1" ht="22.5" customHeight="1">
      <c r="A88" s="11">
        <v>6608</v>
      </c>
      <c r="B88" s="11" t="s">
        <v>55</v>
      </c>
      <c r="C88" s="27">
        <v>3000000</v>
      </c>
      <c r="D88" s="72"/>
      <c r="E88" s="60">
        <f>(D88/C88)</f>
        <v>0</v>
      </c>
      <c r="F88" s="60"/>
      <c r="G88" s="67"/>
      <c r="H88" s="67"/>
      <c r="I88" s="67"/>
      <c r="J88" s="67"/>
      <c r="K88" s="67"/>
      <c r="L88" s="67"/>
    </row>
    <row r="89" spans="1:12" s="37" customFormat="1" ht="22.5" customHeight="1">
      <c r="A89" s="11">
        <v>6618</v>
      </c>
      <c r="B89" s="11" t="s">
        <v>91</v>
      </c>
      <c r="C89" s="27">
        <v>9000000</v>
      </c>
      <c r="D89" s="72">
        <v>2250000</v>
      </c>
      <c r="E89" s="60">
        <f>(D89/C89)</f>
        <v>0.25</v>
      </c>
      <c r="F89" s="60"/>
      <c r="G89" s="67"/>
      <c r="H89" s="67"/>
      <c r="I89" s="67"/>
      <c r="J89" s="67"/>
      <c r="K89" s="67"/>
      <c r="L89" s="67"/>
    </row>
    <row r="90" spans="1:12" s="37" customFormat="1" ht="22.5" customHeight="1">
      <c r="A90" s="18">
        <v>6650</v>
      </c>
      <c r="B90" s="18" t="s">
        <v>57</v>
      </c>
      <c r="C90" s="13">
        <f>SUM(C91:C93)</f>
        <v>5840000</v>
      </c>
      <c r="D90" s="13">
        <f>SUM(D91:D93)</f>
        <v>0</v>
      </c>
      <c r="E90" s="59"/>
      <c r="F90" s="59"/>
      <c r="G90" s="67"/>
      <c r="H90" s="67"/>
      <c r="I90" s="67"/>
      <c r="J90" s="67"/>
      <c r="K90" s="67"/>
      <c r="L90" s="67"/>
    </row>
    <row r="91" spans="1:12" s="37" customFormat="1" ht="22.5" customHeight="1">
      <c r="A91" s="11">
        <v>6651</v>
      </c>
      <c r="B91" s="11" t="s">
        <v>116</v>
      </c>
      <c r="C91" s="27">
        <v>1200000</v>
      </c>
      <c r="D91" s="27"/>
      <c r="E91" s="60">
        <f>D91/C91</f>
        <v>0</v>
      </c>
      <c r="F91" s="57"/>
      <c r="G91" s="67"/>
      <c r="H91" s="67"/>
      <c r="I91" s="67"/>
      <c r="J91" s="67"/>
      <c r="K91" s="67"/>
      <c r="L91" s="67"/>
    </row>
    <row r="92" spans="1:12" s="37" customFormat="1" ht="22.5" customHeight="1">
      <c r="A92" s="11">
        <v>6657</v>
      </c>
      <c r="B92" s="11" t="s">
        <v>58</v>
      </c>
      <c r="C92" s="27">
        <v>1200000</v>
      </c>
      <c r="D92" s="27"/>
      <c r="E92" s="60">
        <f>D92/C92</f>
        <v>0</v>
      </c>
      <c r="F92" s="57"/>
      <c r="G92" s="67"/>
      <c r="H92" s="67"/>
      <c r="I92" s="67"/>
      <c r="J92" s="67"/>
      <c r="K92" s="67"/>
      <c r="L92" s="67"/>
    </row>
    <row r="93" spans="1:12" s="37" customFormat="1" ht="22.5" customHeight="1">
      <c r="A93" s="11">
        <v>6699</v>
      </c>
      <c r="B93" s="11" t="s">
        <v>59</v>
      </c>
      <c r="C93" s="27">
        <v>3440000</v>
      </c>
      <c r="D93" s="27"/>
      <c r="E93" s="60">
        <f>D93/C93</f>
        <v>0</v>
      </c>
      <c r="F93" s="57"/>
      <c r="G93" s="67"/>
      <c r="H93" s="67"/>
      <c r="I93" s="67"/>
      <c r="J93" s="67"/>
      <c r="K93" s="67"/>
      <c r="L93" s="67"/>
    </row>
    <row r="94" spans="1:12" s="37" customFormat="1" ht="22.5" customHeight="1">
      <c r="A94" s="18">
        <v>6700</v>
      </c>
      <c r="B94" s="18" t="s">
        <v>60</v>
      </c>
      <c r="C94" s="13">
        <f>SUM(C95:C99)</f>
        <v>116300000</v>
      </c>
      <c r="D94" s="13">
        <f>SUM(D95:D99)</f>
        <v>10044000</v>
      </c>
      <c r="E94" s="59"/>
      <c r="F94" s="59">
        <f>G94/D94</f>
        <v>1.2132616487455197</v>
      </c>
      <c r="G94" s="67">
        <v>12186000</v>
      </c>
      <c r="H94" s="67"/>
      <c r="I94" s="67"/>
      <c r="J94" s="67"/>
      <c r="K94" s="67"/>
      <c r="L94" s="67"/>
    </row>
    <row r="95" spans="1:12" s="37" customFormat="1" ht="22.5" customHeight="1">
      <c r="A95" s="11">
        <v>6701</v>
      </c>
      <c r="B95" s="11" t="s">
        <v>61</v>
      </c>
      <c r="C95" s="27">
        <v>38000000</v>
      </c>
      <c r="D95" s="72">
        <v>648000</v>
      </c>
      <c r="E95" s="60">
        <f>D95/C95</f>
        <v>0.017052631578947368</v>
      </c>
      <c r="F95" s="60"/>
      <c r="G95" s="67"/>
      <c r="H95" s="67"/>
      <c r="I95" s="67"/>
      <c r="J95" s="67"/>
      <c r="K95" s="67"/>
      <c r="L95" s="67"/>
    </row>
    <row r="96" spans="1:12" s="37" customFormat="1" ht="22.5" customHeight="1">
      <c r="A96" s="11">
        <v>6702</v>
      </c>
      <c r="B96" s="11" t="s">
        <v>62</v>
      </c>
      <c r="C96" s="27">
        <v>42000000</v>
      </c>
      <c r="D96" s="72">
        <v>1146000</v>
      </c>
      <c r="E96" s="60">
        <f>D96/C96</f>
        <v>0.027285714285714285</v>
      </c>
      <c r="F96" s="60"/>
      <c r="G96" s="67"/>
      <c r="H96" s="67"/>
      <c r="I96" s="67"/>
      <c r="J96" s="67"/>
      <c r="K96" s="67"/>
      <c r="L96" s="67"/>
    </row>
    <row r="97" spans="1:12" s="37" customFormat="1" ht="22.5" customHeight="1">
      <c r="A97" s="11">
        <v>6703</v>
      </c>
      <c r="B97" s="11" t="s">
        <v>63</v>
      </c>
      <c r="C97" s="27">
        <v>8300000</v>
      </c>
      <c r="D97" s="72">
        <v>750000</v>
      </c>
      <c r="E97" s="60">
        <f>D97/C97</f>
        <v>0.09036144578313253</v>
      </c>
      <c r="F97" s="60"/>
      <c r="G97" s="67"/>
      <c r="H97" s="67"/>
      <c r="I97" s="67"/>
      <c r="J97" s="67"/>
      <c r="K97" s="67"/>
      <c r="L97" s="67"/>
    </row>
    <row r="98" spans="1:12" s="37" customFormat="1" ht="22.5" customHeight="1">
      <c r="A98" s="11">
        <v>6704</v>
      </c>
      <c r="B98" s="11" t="s">
        <v>64</v>
      </c>
      <c r="C98" s="27">
        <v>24000000</v>
      </c>
      <c r="D98" s="72">
        <v>7500000</v>
      </c>
      <c r="E98" s="60">
        <f>D98/C98</f>
        <v>0.3125</v>
      </c>
      <c r="F98" s="60"/>
      <c r="G98" s="67"/>
      <c r="H98" s="67"/>
      <c r="I98" s="67"/>
      <c r="J98" s="67"/>
      <c r="K98" s="67"/>
      <c r="L98" s="67"/>
    </row>
    <row r="99" spans="1:12" s="37" customFormat="1" ht="22.5" customHeight="1">
      <c r="A99" s="11">
        <v>6749</v>
      </c>
      <c r="B99" s="11" t="s">
        <v>65</v>
      </c>
      <c r="C99" s="27">
        <v>4000000</v>
      </c>
      <c r="D99" s="72"/>
      <c r="E99" s="60">
        <f>D99/C99</f>
        <v>0</v>
      </c>
      <c r="F99" s="60"/>
      <c r="G99" s="67"/>
      <c r="H99" s="67"/>
      <c r="I99" s="67"/>
      <c r="J99" s="67"/>
      <c r="K99" s="67"/>
      <c r="L99" s="67"/>
    </row>
    <row r="100" spans="1:12" s="39" customFormat="1" ht="22.5" customHeight="1">
      <c r="A100" s="21">
        <v>6750</v>
      </c>
      <c r="B100" s="21" t="s">
        <v>86</v>
      </c>
      <c r="C100" s="13">
        <f>SUM(C101:C103)</f>
        <v>86004400</v>
      </c>
      <c r="D100" s="13">
        <f>SUM(D101:D103)</f>
        <v>23010900</v>
      </c>
      <c r="E100" s="63"/>
      <c r="F100" s="59">
        <f>G100/D100</f>
        <v>0.29829341746737414</v>
      </c>
      <c r="G100" s="68">
        <v>6864000</v>
      </c>
      <c r="H100" s="68"/>
      <c r="I100" s="68"/>
      <c r="J100" s="68"/>
      <c r="K100" s="68"/>
      <c r="L100" s="68"/>
    </row>
    <row r="101" spans="1:12" s="39" customFormat="1" ht="22.5" customHeight="1">
      <c r="A101" s="11">
        <v>6751</v>
      </c>
      <c r="B101" s="11" t="s">
        <v>117</v>
      </c>
      <c r="C101" s="27">
        <v>6500000</v>
      </c>
      <c r="D101" s="27"/>
      <c r="E101" s="60">
        <f>D101/C101</f>
        <v>0</v>
      </c>
      <c r="F101" s="60"/>
      <c r="G101" s="68"/>
      <c r="H101" s="68"/>
      <c r="I101" s="68"/>
      <c r="J101" s="68"/>
      <c r="K101" s="68"/>
      <c r="L101" s="68"/>
    </row>
    <row r="102" spans="1:12" s="37" customFormat="1" ht="22.5" customHeight="1">
      <c r="A102" s="11">
        <v>6757</v>
      </c>
      <c r="B102" s="11" t="s">
        <v>97</v>
      </c>
      <c r="C102" s="27">
        <v>65504400</v>
      </c>
      <c r="D102" s="72">
        <v>16110900</v>
      </c>
      <c r="E102" s="60">
        <f>D102/C102</f>
        <v>0.24595141700404857</v>
      </c>
      <c r="F102" s="60"/>
      <c r="G102" s="67"/>
      <c r="H102" s="67"/>
      <c r="I102" s="67"/>
      <c r="J102" s="67"/>
      <c r="K102" s="67"/>
      <c r="L102" s="67"/>
    </row>
    <row r="103" spans="1:12" s="37" customFormat="1" ht="22.5" customHeight="1">
      <c r="A103" s="11">
        <v>6799</v>
      </c>
      <c r="B103" s="11" t="s">
        <v>98</v>
      </c>
      <c r="C103" s="27">
        <v>14000000</v>
      </c>
      <c r="D103" s="72">
        <v>6900000</v>
      </c>
      <c r="E103" s="60">
        <f>D103/C103</f>
        <v>0.4928571428571429</v>
      </c>
      <c r="F103" s="60"/>
      <c r="G103" s="67"/>
      <c r="H103" s="67"/>
      <c r="I103" s="67"/>
      <c r="J103" s="67"/>
      <c r="K103" s="67"/>
      <c r="L103" s="67"/>
    </row>
    <row r="104" spans="1:12" s="37" customFormat="1" ht="22.5" customHeight="1">
      <c r="A104" s="28">
        <v>6900</v>
      </c>
      <c r="B104" s="18" t="s">
        <v>66</v>
      </c>
      <c r="C104" s="13">
        <f>SUM(C105:C110)</f>
        <v>125200000</v>
      </c>
      <c r="D104" s="13">
        <f>SUM(D105:D110)</f>
        <v>7494000</v>
      </c>
      <c r="E104" s="59"/>
      <c r="F104" s="59">
        <f>G104/D104</f>
        <v>5.201361088871097</v>
      </c>
      <c r="G104" s="67">
        <v>38979000</v>
      </c>
      <c r="H104" s="67"/>
      <c r="I104" s="67"/>
      <c r="J104" s="67"/>
      <c r="K104" s="67"/>
      <c r="L104" s="67"/>
    </row>
    <row r="105" spans="1:12" s="37" customFormat="1" ht="22.5" customHeight="1">
      <c r="A105" s="43">
        <v>6905</v>
      </c>
      <c r="B105" s="11" t="s">
        <v>100</v>
      </c>
      <c r="C105" s="27">
        <v>12200000</v>
      </c>
      <c r="D105" s="27"/>
      <c r="E105" s="60">
        <f aca="true" t="shared" si="0" ref="E105:E110">D105/C105</f>
        <v>0</v>
      </c>
      <c r="F105" s="60"/>
      <c r="G105" s="67"/>
      <c r="H105" s="67"/>
      <c r="I105" s="67"/>
      <c r="J105" s="67"/>
      <c r="K105" s="67"/>
      <c r="L105" s="67"/>
    </row>
    <row r="106" spans="1:12" s="37" customFormat="1" ht="22.5" customHeight="1">
      <c r="A106" s="43">
        <v>6907</v>
      </c>
      <c r="B106" s="11" t="s">
        <v>101</v>
      </c>
      <c r="C106" s="27">
        <v>9000000</v>
      </c>
      <c r="D106" s="27"/>
      <c r="E106" s="60">
        <f t="shared" si="0"/>
        <v>0</v>
      </c>
      <c r="F106" s="60"/>
      <c r="G106" s="67"/>
      <c r="H106" s="67"/>
      <c r="I106" s="67"/>
      <c r="J106" s="67"/>
      <c r="K106" s="67"/>
      <c r="L106" s="67"/>
    </row>
    <row r="107" spans="1:12" s="37" customFormat="1" ht="22.5" customHeight="1">
      <c r="A107" s="11">
        <v>6912</v>
      </c>
      <c r="B107" s="11" t="s">
        <v>67</v>
      </c>
      <c r="C107" s="27">
        <v>22000000</v>
      </c>
      <c r="D107" s="72"/>
      <c r="E107" s="60">
        <f t="shared" si="0"/>
        <v>0</v>
      </c>
      <c r="F107" s="60"/>
      <c r="G107" s="67"/>
      <c r="H107" s="67"/>
      <c r="I107" s="67"/>
      <c r="J107" s="67"/>
      <c r="K107" s="67"/>
      <c r="L107" s="67"/>
    </row>
    <row r="108" spans="1:12" s="37" customFormat="1" ht="22.5" customHeight="1">
      <c r="A108" s="11">
        <v>6913</v>
      </c>
      <c r="B108" s="11" t="s">
        <v>68</v>
      </c>
      <c r="C108" s="27">
        <v>14000000</v>
      </c>
      <c r="D108" s="72"/>
      <c r="E108" s="60">
        <f t="shared" si="0"/>
        <v>0</v>
      </c>
      <c r="F108" s="60"/>
      <c r="G108" s="67"/>
      <c r="H108" s="67"/>
      <c r="I108" s="67"/>
      <c r="J108" s="67"/>
      <c r="K108" s="67"/>
      <c r="L108" s="67"/>
    </row>
    <row r="109" spans="1:12" s="37" customFormat="1" ht="22.5" customHeight="1">
      <c r="A109" s="11">
        <v>6921</v>
      </c>
      <c r="B109" s="11" t="s">
        <v>69</v>
      </c>
      <c r="C109" s="27">
        <v>29000000</v>
      </c>
      <c r="D109" s="72">
        <v>1954000</v>
      </c>
      <c r="E109" s="60">
        <f t="shared" si="0"/>
        <v>0.06737931034482758</v>
      </c>
      <c r="F109" s="57"/>
      <c r="G109" s="67"/>
      <c r="H109" s="67"/>
      <c r="I109" s="67"/>
      <c r="J109" s="67"/>
      <c r="K109" s="67"/>
      <c r="L109" s="67"/>
    </row>
    <row r="110" spans="1:12" s="37" customFormat="1" ht="35.25" customHeight="1">
      <c r="A110" s="11">
        <v>6949</v>
      </c>
      <c r="B110" s="29" t="s">
        <v>93</v>
      </c>
      <c r="C110" s="27">
        <v>39000000</v>
      </c>
      <c r="D110" s="72">
        <v>5540000</v>
      </c>
      <c r="E110" s="60">
        <f t="shared" si="0"/>
        <v>0.14205128205128206</v>
      </c>
      <c r="F110" s="60"/>
      <c r="G110" s="67"/>
      <c r="H110" s="67"/>
      <c r="I110" s="67"/>
      <c r="J110" s="67"/>
      <c r="K110" s="67"/>
      <c r="L110" s="67"/>
    </row>
    <row r="111" spans="1:12" s="39" customFormat="1" ht="24" customHeight="1">
      <c r="A111" s="21">
        <v>6950</v>
      </c>
      <c r="B111" s="24" t="s">
        <v>118</v>
      </c>
      <c r="C111" s="49">
        <f>SUM(C112:C115)</f>
        <v>48446000</v>
      </c>
      <c r="D111" s="49">
        <f>SUM(D112:D115)</f>
        <v>0</v>
      </c>
      <c r="E111" s="58"/>
      <c r="F111" s="59"/>
      <c r="G111" s="68"/>
      <c r="H111" s="68"/>
      <c r="I111" s="68"/>
      <c r="J111" s="68"/>
      <c r="K111" s="68"/>
      <c r="L111" s="68"/>
    </row>
    <row r="112" spans="1:12" s="37" customFormat="1" ht="24" customHeight="1">
      <c r="A112" s="11">
        <v>6954</v>
      </c>
      <c r="B112" s="29" t="s">
        <v>119</v>
      </c>
      <c r="C112" s="27">
        <v>11833000</v>
      </c>
      <c r="D112" s="27"/>
      <c r="E112" s="60">
        <f>D112/C112</f>
        <v>0</v>
      </c>
      <c r="F112" s="60"/>
      <c r="G112" s="67"/>
      <c r="H112" s="67"/>
      <c r="I112" s="67"/>
      <c r="J112" s="67"/>
      <c r="K112" s="67"/>
      <c r="L112" s="67"/>
    </row>
    <row r="113" spans="1:12" s="37" customFormat="1" ht="24" customHeight="1">
      <c r="A113" s="11">
        <v>6955</v>
      </c>
      <c r="B113" s="29" t="s">
        <v>120</v>
      </c>
      <c r="C113" s="27">
        <v>9613000</v>
      </c>
      <c r="D113" s="27"/>
      <c r="E113" s="60">
        <f>D113/C113</f>
        <v>0</v>
      </c>
      <c r="F113" s="60"/>
      <c r="G113" s="67"/>
      <c r="H113" s="67"/>
      <c r="I113" s="67"/>
      <c r="J113" s="67"/>
      <c r="K113" s="67"/>
      <c r="L113" s="67"/>
    </row>
    <row r="114" spans="1:12" s="37" customFormat="1" ht="24" customHeight="1">
      <c r="A114" s="11">
        <v>6999</v>
      </c>
      <c r="B114" s="29" t="s">
        <v>122</v>
      </c>
      <c r="C114" s="27">
        <v>12000000</v>
      </c>
      <c r="D114" s="27"/>
      <c r="E114" s="60">
        <f>D114/C114</f>
        <v>0</v>
      </c>
      <c r="F114" s="60"/>
      <c r="G114" s="67"/>
      <c r="H114" s="67"/>
      <c r="I114" s="67"/>
      <c r="J114" s="67"/>
      <c r="K114" s="67"/>
      <c r="L114" s="67"/>
    </row>
    <row r="115" spans="1:12" s="37" customFormat="1" ht="24" customHeight="1">
      <c r="A115" s="11">
        <v>6999</v>
      </c>
      <c r="B115" s="29" t="s">
        <v>121</v>
      </c>
      <c r="C115" s="27">
        <v>15000000</v>
      </c>
      <c r="D115" s="27"/>
      <c r="E115" s="60">
        <f>D115/C115</f>
        <v>0</v>
      </c>
      <c r="F115" s="60"/>
      <c r="G115" s="67"/>
      <c r="H115" s="67"/>
      <c r="I115" s="67"/>
      <c r="J115" s="67"/>
      <c r="K115" s="67"/>
      <c r="L115" s="67"/>
    </row>
    <row r="116" spans="1:12" s="37" customFormat="1" ht="22.5" customHeight="1">
      <c r="A116" s="18">
        <v>7000</v>
      </c>
      <c r="B116" s="18" t="s">
        <v>70</v>
      </c>
      <c r="C116" s="13">
        <f>SUM(C117:C124)</f>
        <v>418679400</v>
      </c>
      <c r="D116" s="13">
        <f>SUM(D117:D123)</f>
        <v>16780000</v>
      </c>
      <c r="E116" s="59"/>
      <c r="F116" s="59">
        <f>G116/D116</f>
        <v>1.1628724672228843</v>
      </c>
      <c r="G116" s="67">
        <v>19513000</v>
      </c>
      <c r="H116" s="67"/>
      <c r="I116" s="67"/>
      <c r="J116" s="67"/>
      <c r="K116" s="67"/>
      <c r="L116" s="67"/>
    </row>
    <row r="117" spans="1:12" s="37" customFormat="1" ht="22.5" customHeight="1">
      <c r="A117" s="11">
        <v>7001</v>
      </c>
      <c r="B117" s="11" t="s">
        <v>71</v>
      </c>
      <c r="C117" s="27">
        <f>33156800-9000000</f>
        <v>24156800</v>
      </c>
      <c r="D117" s="72">
        <v>1230000</v>
      </c>
      <c r="E117" s="60">
        <f aca="true" t="shared" si="1" ref="E117:E124">D117/C117</f>
        <v>0.050917340045039075</v>
      </c>
      <c r="F117" s="57"/>
      <c r="G117" s="67"/>
      <c r="H117" s="67"/>
      <c r="I117" s="67"/>
      <c r="J117" s="67"/>
      <c r="K117" s="67"/>
      <c r="L117" s="67"/>
    </row>
    <row r="118" spans="1:12" s="37" customFormat="1" ht="22.5" customHeight="1">
      <c r="A118" s="11">
        <v>7004</v>
      </c>
      <c r="B118" s="11" t="s">
        <v>72</v>
      </c>
      <c r="C118" s="27">
        <v>1820000</v>
      </c>
      <c r="D118" s="72"/>
      <c r="E118" s="60">
        <f t="shared" si="1"/>
        <v>0</v>
      </c>
      <c r="F118" s="57"/>
      <c r="G118" s="67"/>
      <c r="H118" s="67"/>
      <c r="I118" s="67"/>
      <c r="J118" s="67"/>
      <c r="K118" s="67"/>
      <c r="L118" s="67"/>
    </row>
    <row r="119" spans="1:12" s="37" customFormat="1" ht="36.75" customHeight="1">
      <c r="A119" s="11">
        <v>7012</v>
      </c>
      <c r="B119" s="29" t="s">
        <v>94</v>
      </c>
      <c r="C119" s="27">
        <v>9000000</v>
      </c>
      <c r="D119" s="72"/>
      <c r="E119" s="60">
        <f t="shared" si="1"/>
        <v>0</v>
      </c>
      <c r="F119" s="57"/>
      <c r="G119" s="67"/>
      <c r="H119" s="67"/>
      <c r="I119" s="67"/>
      <c r="J119" s="67"/>
      <c r="K119" s="67"/>
      <c r="L119" s="67"/>
    </row>
    <row r="120" spans="1:12" s="37" customFormat="1" ht="22.5" customHeight="1">
      <c r="A120" s="30">
        <v>7049</v>
      </c>
      <c r="B120" s="11" t="s">
        <v>73</v>
      </c>
      <c r="C120" s="27">
        <v>37400000</v>
      </c>
      <c r="D120" s="72"/>
      <c r="E120" s="60">
        <f t="shared" si="1"/>
        <v>0</v>
      </c>
      <c r="F120" s="57"/>
      <c r="G120" s="67"/>
      <c r="H120" s="67"/>
      <c r="I120" s="67"/>
      <c r="J120" s="67"/>
      <c r="K120" s="67"/>
      <c r="L120" s="67"/>
    </row>
    <row r="121" spans="1:12" s="37" customFormat="1" ht="22.5" customHeight="1">
      <c r="A121" s="30">
        <v>7049</v>
      </c>
      <c r="B121" s="11" t="s">
        <v>74</v>
      </c>
      <c r="C121" s="27">
        <v>67000000</v>
      </c>
      <c r="D121" s="72"/>
      <c r="E121" s="60">
        <f t="shared" si="1"/>
        <v>0</v>
      </c>
      <c r="F121" s="60"/>
      <c r="G121" s="67"/>
      <c r="H121" s="67"/>
      <c r="I121" s="67"/>
      <c r="J121" s="67"/>
      <c r="K121" s="67"/>
      <c r="L121" s="67"/>
    </row>
    <row r="122" spans="1:12" s="37" customFormat="1" ht="22.5" customHeight="1">
      <c r="A122" s="30">
        <v>7049</v>
      </c>
      <c r="B122" s="11" t="s">
        <v>75</v>
      </c>
      <c r="C122" s="27">
        <f>254702600-77400000-63502000</f>
        <v>113800600</v>
      </c>
      <c r="D122" s="72">
        <v>15550000</v>
      </c>
      <c r="E122" s="60">
        <f t="shared" si="1"/>
        <v>0.1366425133083657</v>
      </c>
      <c r="F122" s="80"/>
      <c r="G122" s="67"/>
      <c r="H122" s="67"/>
      <c r="I122" s="67"/>
      <c r="J122" s="67"/>
      <c r="K122" s="67"/>
      <c r="L122" s="67"/>
    </row>
    <row r="123" spans="1:12" s="37" customFormat="1" ht="22.5" customHeight="1">
      <c r="A123" s="30">
        <v>7049</v>
      </c>
      <c r="B123" s="11" t="s">
        <v>76</v>
      </c>
      <c r="C123" s="27">
        <v>69202000</v>
      </c>
      <c r="D123" s="72"/>
      <c r="E123" s="60">
        <f t="shared" si="1"/>
        <v>0</v>
      </c>
      <c r="F123" s="80"/>
      <c r="G123" s="67"/>
      <c r="H123" s="67"/>
      <c r="I123" s="67"/>
      <c r="J123" s="67"/>
      <c r="K123" s="67"/>
      <c r="L123" s="67"/>
    </row>
    <row r="124" spans="1:12" s="37" customFormat="1" ht="22.5" customHeight="1">
      <c r="A124" s="30">
        <v>7049</v>
      </c>
      <c r="B124" s="11" t="s">
        <v>76</v>
      </c>
      <c r="C124" s="27">
        <f>13300000+83000000</f>
        <v>96300000</v>
      </c>
      <c r="D124" s="72"/>
      <c r="E124" s="60">
        <f t="shared" si="1"/>
        <v>0</v>
      </c>
      <c r="F124" s="80"/>
      <c r="G124" s="67"/>
      <c r="H124" s="67"/>
      <c r="I124" s="67"/>
      <c r="J124" s="67"/>
      <c r="K124" s="67"/>
      <c r="L124" s="67"/>
    </row>
    <row r="125" spans="1:12" s="37" customFormat="1" ht="22.5" customHeight="1">
      <c r="A125" s="18">
        <v>7750</v>
      </c>
      <c r="B125" s="18" t="s">
        <v>65</v>
      </c>
      <c r="C125" s="13">
        <f>SUM(C126:C130)</f>
        <v>120438000</v>
      </c>
      <c r="D125" s="13">
        <f>SUM(D126:D130)</f>
        <v>13739200</v>
      </c>
      <c r="E125" s="59"/>
      <c r="F125" s="59">
        <f>G125/D125</f>
        <v>10.459124257598695</v>
      </c>
      <c r="G125" s="67">
        <v>143700000</v>
      </c>
      <c r="H125" s="67"/>
      <c r="I125" s="67"/>
      <c r="J125" s="67"/>
      <c r="K125" s="67"/>
      <c r="L125" s="67"/>
    </row>
    <row r="126" spans="1:12" s="37" customFormat="1" ht="22.5" customHeight="1">
      <c r="A126" s="11">
        <v>7756</v>
      </c>
      <c r="B126" s="11" t="s">
        <v>92</v>
      </c>
      <c r="C126" s="27">
        <v>5888000</v>
      </c>
      <c r="D126" s="27">
        <v>321200</v>
      </c>
      <c r="E126" s="60">
        <f>D126/C126</f>
        <v>0.05455163043478261</v>
      </c>
      <c r="F126" s="60"/>
      <c r="G126" s="67"/>
      <c r="H126" s="67"/>
      <c r="I126" s="67"/>
      <c r="J126" s="67"/>
      <c r="K126" s="67"/>
      <c r="L126" s="67"/>
    </row>
    <row r="127" spans="1:12" s="37" customFormat="1" ht="34.5" customHeight="1">
      <c r="A127" s="11">
        <v>7757</v>
      </c>
      <c r="B127" s="29" t="s">
        <v>139</v>
      </c>
      <c r="C127" s="27">
        <v>15000000</v>
      </c>
      <c r="D127" s="27"/>
      <c r="E127" s="60">
        <f>D127/C127</f>
        <v>0</v>
      </c>
      <c r="F127" s="60"/>
      <c r="G127" s="67"/>
      <c r="H127" s="67"/>
      <c r="I127" s="67"/>
      <c r="J127" s="67"/>
      <c r="K127" s="67"/>
      <c r="L127" s="67"/>
    </row>
    <row r="128" spans="1:12" s="37" customFormat="1" ht="22.5" customHeight="1">
      <c r="A128" s="11">
        <v>7761</v>
      </c>
      <c r="B128" s="11" t="s">
        <v>123</v>
      </c>
      <c r="C128" s="27">
        <v>6000000</v>
      </c>
      <c r="D128" s="27"/>
      <c r="E128" s="60">
        <f>D128/C128</f>
        <v>0</v>
      </c>
      <c r="F128" s="60"/>
      <c r="G128" s="67"/>
      <c r="H128" s="67"/>
      <c r="I128" s="67"/>
      <c r="J128" s="67"/>
      <c r="K128" s="67"/>
      <c r="L128" s="67"/>
    </row>
    <row r="129" spans="1:12" s="37" customFormat="1" ht="22.5" customHeight="1">
      <c r="A129" s="25">
        <v>7764</v>
      </c>
      <c r="B129" s="11" t="s">
        <v>77</v>
      </c>
      <c r="C129" s="27">
        <v>64050000</v>
      </c>
      <c r="D129" s="27"/>
      <c r="E129" s="60">
        <f>D129/C129</f>
        <v>0</v>
      </c>
      <c r="F129" s="57"/>
      <c r="G129" s="67"/>
      <c r="H129" s="67"/>
      <c r="I129" s="67"/>
      <c r="J129" s="67"/>
      <c r="K129" s="67"/>
      <c r="L129" s="67"/>
    </row>
    <row r="130" spans="1:12" s="37" customFormat="1" ht="22.5" customHeight="1">
      <c r="A130" s="25">
        <v>7799</v>
      </c>
      <c r="B130" s="11" t="s">
        <v>76</v>
      </c>
      <c r="C130" s="27">
        <v>29500000</v>
      </c>
      <c r="D130" s="27">
        <v>13418000</v>
      </c>
      <c r="E130" s="60">
        <f>D130/C130</f>
        <v>0.45484745762711865</v>
      </c>
      <c r="F130" s="60"/>
      <c r="G130" s="67"/>
      <c r="H130" s="67"/>
      <c r="I130" s="67"/>
      <c r="J130" s="67"/>
      <c r="K130" s="67"/>
      <c r="L130" s="67"/>
    </row>
    <row r="131" spans="1:12" s="37" customFormat="1" ht="35.25" customHeight="1">
      <c r="A131" s="31">
        <v>1.2</v>
      </c>
      <c r="B131" s="32" t="s">
        <v>5</v>
      </c>
      <c r="C131" s="33">
        <f>C132+C135+C137+C139+C141+C144+C150</f>
        <v>1043422000</v>
      </c>
      <c r="D131" s="33">
        <f>D132+D135+D137+D139+D141+D144+D150</f>
        <v>235952544</v>
      </c>
      <c r="E131" s="64"/>
      <c r="F131" s="64"/>
      <c r="G131" s="33">
        <f>G132+G135+G137+G139+G141+G144+G150</f>
        <v>242211402</v>
      </c>
      <c r="H131" s="67"/>
      <c r="I131" s="67"/>
      <c r="J131" s="67"/>
      <c r="K131" s="67"/>
      <c r="L131" s="67"/>
    </row>
    <row r="132" spans="1:12" s="37" customFormat="1" ht="22.5" customHeight="1">
      <c r="A132" s="18">
        <v>6100</v>
      </c>
      <c r="B132" s="28" t="s">
        <v>35</v>
      </c>
      <c r="C132" s="33">
        <f>SUM(C133:C134)</f>
        <v>321285280</v>
      </c>
      <c r="D132" s="33">
        <f>SUM(D133:D134)</f>
        <v>106253024</v>
      </c>
      <c r="E132" s="60">
        <f>(D132/C132)</f>
        <v>0.33071239367082117</v>
      </c>
      <c r="F132" s="59">
        <f>G132/D132</f>
        <v>1.088544472861309</v>
      </c>
      <c r="G132" s="67">
        <v>115661142</v>
      </c>
      <c r="H132" s="67"/>
      <c r="I132" s="67"/>
      <c r="J132" s="67"/>
      <c r="K132" s="67"/>
      <c r="L132" s="67"/>
    </row>
    <row r="133" spans="1:12" s="37" customFormat="1" ht="22.5" customHeight="1">
      <c r="A133" s="11">
        <v>6105</v>
      </c>
      <c r="B133" s="11" t="s">
        <v>78</v>
      </c>
      <c r="C133" s="12">
        <v>281285280</v>
      </c>
      <c r="D133" s="12">
        <v>106253024</v>
      </c>
      <c r="E133" s="60">
        <f>D133/C133</f>
        <v>0.3777411459284325</v>
      </c>
      <c r="F133" s="64"/>
      <c r="G133" s="67"/>
      <c r="H133" s="67"/>
      <c r="I133" s="67"/>
      <c r="J133" s="67"/>
      <c r="K133" s="67"/>
      <c r="L133" s="67"/>
    </row>
    <row r="134" spans="1:12" s="37" customFormat="1" ht="22.5" customHeight="1">
      <c r="A134" s="11">
        <v>6149</v>
      </c>
      <c r="B134" s="11" t="s">
        <v>99</v>
      </c>
      <c r="C134" s="12">
        <v>40000000</v>
      </c>
      <c r="D134" s="12"/>
      <c r="E134" s="60">
        <f>D134/C134</f>
        <v>0</v>
      </c>
      <c r="F134" s="64"/>
      <c r="G134" s="67"/>
      <c r="H134" s="67"/>
      <c r="I134" s="67"/>
      <c r="J134" s="67"/>
      <c r="K134" s="67"/>
      <c r="L134" s="67"/>
    </row>
    <row r="135" spans="1:12" s="37" customFormat="1" ht="22.5" customHeight="1">
      <c r="A135" s="18">
        <v>6400</v>
      </c>
      <c r="B135" s="44" t="s">
        <v>79</v>
      </c>
      <c r="C135" s="13">
        <f>SUM(C136:C136)</f>
        <v>56736720</v>
      </c>
      <c r="D135" s="13">
        <f>SUM(D136:D136)</f>
        <v>28075520</v>
      </c>
      <c r="E135" s="59"/>
      <c r="F135" s="59">
        <f>G135/D135</f>
        <v>0.6820981410139509</v>
      </c>
      <c r="G135" s="67">
        <v>19150260</v>
      </c>
      <c r="H135" s="67"/>
      <c r="I135" s="67"/>
      <c r="J135" s="67"/>
      <c r="K135" s="67"/>
      <c r="L135" s="67"/>
    </row>
    <row r="136" spans="1:12" s="37" customFormat="1" ht="22.5" customHeight="1">
      <c r="A136" s="11">
        <v>6449</v>
      </c>
      <c r="B136" s="11" t="s">
        <v>124</v>
      </c>
      <c r="C136" s="27">
        <v>56736720</v>
      </c>
      <c r="D136" s="12">
        <v>28075520</v>
      </c>
      <c r="E136" s="60">
        <f>(D136/C136)</f>
        <v>0.49483861597921064</v>
      </c>
      <c r="F136" s="80"/>
      <c r="G136" s="67"/>
      <c r="H136" s="67"/>
      <c r="I136" s="67"/>
      <c r="J136" s="67"/>
      <c r="K136" s="67"/>
      <c r="L136" s="67"/>
    </row>
    <row r="137" spans="1:12" s="37" customFormat="1" ht="22.5" customHeight="1">
      <c r="A137" s="45" t="s">
        <v>85</v>
      </c>
      <c r="B137" s="18" t="s">
        <v>86</v>
      </c>
      <c r="C137" s="13">
        <f>SUM(C138)</f>
        <v>30000000</v>
      </c>
      <c r="D137" s="13">
        <f>SUM(D138)</f>
        <v>0</v>
      </c>
      <c r="E137" s="59"/>
      <c r="F137" s="59"/>
      <c r="G137" s="67">
        <v>1400000</v>
      </c>
      <c r="H137" s="67"/>
      <c r="I137" s="67"/>
      <c r="J137" s="67"/>
      <c r="K137" s="67"/>
      <c r="L137" s="67"/>
    </row>
    <row r="138" spans="1:12" s="37" customFormat="1" ht="22.5" customHeight="1">
      <c r="A138" s="11">
        <v>6758</v>
      </c>
      <c r="B138" s="11" t="s">
        <v>80</v>
      </c>
      <c r="C138" s="27">
        <v>30000000</v>
      </c>
      <c r="D138" s="12"/>
      <c r="E138" s="60">
        <f>D138/C138</f>
        <v>0</v>
      </c>
      <c r="F138" s="57"/>
      <c r="G138" s="67"/>
      <c r="H138" s="67"/>
      <c r="I138" s="67"/>
      <c r="J138" s="67"/>
      <c r="K138" s="67"/>
      <c r="L138" s="67"/>
    </row>
    <row r="139" spans="1:12" s="52" customFormat="1" ht="22.5" customHeight="1">
      <c r="A139" s="18">
        <v>6900</v>
      </c>
      <c r="B139" s="18" t="s">
        <v>66</v>
      </c>
      <c r="C139" s="50">
        <f>C140</f>
        <v>5000000</v>
      </c>
      <c r="D139" s="51">
        <f>D140</f>
        <v>0</v>
      </c>
      <c r="E139" s="59"/>
      <c r="F139" s="81"/>
      <c r="G139" s="69"/>
      <c r="H139" s="69"/>
      <c r="I139" s="69"/>
      <c r="J139" s="69"/>
      <c r="K139" s="69"/>
      <c r="L139" s="69"/>
    </row>
    <row r="140" spans="1:12" s="37" customFormat="1" ht="22.5" customHeight="1">
      <c r="A140" s="11">
        <v>6905</v>
      </c>
      <c r="B140" s="11" t="s">
        <v>125</v>
      </c>
      <c r="C140" s="27">
        <v>5000000</v>
      </c>
      <c r="D140" s="27"/>
      <c r="E140" s="60">
        <f>D140/C140</f>
        <v>0</v>
      </c>
      <c r="F140" s="57"/>
      <c r="G140" s="67"/>
      <c r="H140" s="67"/>
      <c r="I140" s="67"/>
      <c r="J140" s="67"/>
      <c r="K140" s="67"/>
      <c r="L140" s="67"/>
    </row>
    <row r="141" spans="1:12" s="37" customFormat="1" ht="22.5" customHeight="1">
      <c r="A141" s="18">
        <v>7000</v>
      </c>
      <c r="B141" s="18" t="s">
        <v>81</v>
      </c>
      <c r="C141" s="13">
        <f>C142+C143</f>
        <v>11800000</v>
      </c>
      <c r="D141" s="13">
        <f>D142+D143</f>
        <v>0</v>
      </c>
      <c r="E141" s="59"/>
      <c r="F141" s="57"/>
      <c r="G141" s="67"/>
      <c r="H141" s="67"/>
      <c r="I141" s="67"/>
      <c r="J141" s="67"/>
      <c r="K141" s="67"/>
      <c r="L141" s="67"/>
    </row>
    <row r="142" spans="1:12" s="37" customFormat="1" ht="22.5" customHeight="1">
      <c r="A142" s="11">
        <v>7004</v>
      </c>
      <c r="B142" s="11" t="s">
        <v>82</v>
      </c>
      <c r="C142" s="27">
        <v>1800000</v>
      </c>
      <c r="D142" s="27"/>
      <c r="E142" s="60">
        <f>(D142/C142)</f>
        <v>0</v>
      </c>
      <c r="F142" s="57"/>
      <c r="G142" s="67"/>
      <c r="H142" s="67"/>
      <c r="I142" s="67"/>
      <c r="J142" s="67"/>
      <c r="K142" s="67"/>
      <c r="L142" s="67"/>
    </row>
    <row r="143" spans="1:12" s="37" customFormat="1" ht="22.5" customHeight="1">
      <c r="A143" s="11">
        <v>7049</v>
      </c>
      <c r="B143" s="11" t="s">
        <v>76</v>
      </c>
      <c r="C143" s="27">
        <v>10000000</v>
      </c>
      <c r="D143" s="27"/>
      <c r="E143" s="60">
        <f>(D143/C143)</f>
        <v>0</v>
      </c>
      <c r="F143" s="57"/>
      <c r="G143" s="67"/>
      <c r="H143" s="67"/>
      <c r="I143" s="67"/>
      <c r="J143" s="67"/>
      <c r="K143" s="67"/>
      <c r="L143" s="67"/>
    </row>
    <row r="144" spans="1:12" s="37" customFormat="1" ht="21" customHeight="1">
      <c r="A144" s="18">
        <v>7750</v>
      </c>
      <c r="B144" s="18" t="s">
        <v>65</v>
      </c>
      <c r="C144" s="13">
        <f>SUM(C145:C149)</f>
        <v>168600000</v>
      </c>
      <c r="D144" s="13">
        <f>SUM(D145:D149)</f>
        <v>101624000</v>
      </c>
      <c r="E144" s="59"/>
      <c r="F144" s="59">
        <f>G144/D144</f>
        <v>1.0430606943241754</v>
      </c>
      <c r="G144" s="67">
        <v>106000000</v>
      </c>
      <c r="H144" s="67"/>
      <c r="I144" s="67"/>
      <c r="J144" s="67"/>
      <c r="K144" s="67"/>
      <c r="L144" s="67"/>
    </row>
    <row r="145" spans="1:6" s="37" customFormat="1" ht="28.5" customHeight="1">
      <c r="A145" s="11">
        <v>7753</v>
      </c>
      <c r="B145" s="29" t="s">
        <v>137</v>
      </c>
      <c r="C145" s="27">
        <v>45000000</v>
      </c>
      <c r="D145" s="27"/>
      <c r="E145" s="60">
        <f>D145/C145</f>
        <v>0</v>
      </c>
      <c r="F145" s="57"/>
    </row>
    <row r="146" spans="1:12" s="37" customFormat="1" ht="22.5" customHeight="1">
      <c r="A146" s="11">
        <v>7799</v>
      </c>
      <c r="B146" s="11" t="s">
        <v>126</v>
      </c>
      <c r="C146" s="27">
        <v>100000000</v>
      </c>
      <c r="D146" s="27">
        <v>96000000</v>
      </c>
      <c r="E146" s="60">
        <f>D146/C146</f>
        <v>0.96</v>
      </c>
      <c r="F146" s="80"/>
      <c r="G146" s="67"/>
      <c r="H146" s="67"/>
      <c r="I146" s="67"/>
      <c r="J146" s="67"/>
      <c r="K146" s="67"/>
      <c r="L146" s="67"/>
    </row>
    <row r="147" spans="1:12" s="37" customFormat="1" ht="22.5" customHeight="1">
      <c r="A147" s="11">
        <v>7799</v>
      </c>
      <c r="B147" s="11" t="s">
        <v>83</v>
      </c>
      <c r="C147" s="27">
        <v>10000000</v>
      </c>
      <c r="D147" s="27"/>
      <c r="E147" s="60">
        <f>D147/C147</f>
        <v>0</v>
      </c>
      <c r="F147" s="80"/>
      <c r="G147" s="67"/>
      <c r="H147" s="67"/>
      <c r="I147" s="67"/>
      <c r="J147" s="67"/>
      <c r="K147" s="67"/>
      <c r="L147" s="67"/>
    </row>
    <row r="148" spans="1:12" s="37" customFormat="1" ht="22.5" customHeight="1">
      <c r="A148" s="11">
        <v>7799</v>
      </c>
      <c r="B148" s="11" t="s">
        <v>84</v>
      </c>
      <c r="C148" s="27">
        <v>10000000</v>
      </c>
      <c r="D148" s="27"/>
      <c r="E148" s="60">
        <f>D148/C148</f>
        <v>0</v>
      </c>
      <c r="F148" s="80"/>
      <c r="G148" s="67"/>
      <c r="H148" s="67"/>
      <c r="I148" s="67"/>
      <c r="J148" s="67"/>
      <c r="K148" s="67"/>
      <c r="L148" s="67"/>
    </row>
    <row r="149" spans="1:12" s="37" customFormat="1" ht="22.5" customHeight="1">
      <c r="A149" s="11">
        <v>7799</v>
      </c>
      <c r="B149" s="11" t="s">
        <v>131</v>
      </c>
      <c r="C149" s="27">
        <v>3600000</v>
      </c>
      <c r="D149" s="27">
        <f>101624000-96000000</f>
        <v>5624000</v>
      </c>
      <c r="E149" s="60">
        <f>D149/C149</f>
        <v>1.5622222222222222</v>
      </c>
      <c r="F149" s="80"/>
      <c r="G149" s="67"/>
      <c r="H149" s="67"/>
      <c r="I149" s="67"/>
      <c r="J149" s="67"/>
      <c r="K149" s="67"/>
      <c r="L149" s="67"/>
    </row>
    <row r="150" spans="1:12" s="37" customFormat="1" ht="22.5" customHeight="1">
      <c r="A150" s="46">
        <v>6950</v>
      </c>
      <c r="B150" s="46" t="s">
        <v>127</v>
      </c>
      <c r="C150" s="13">
        <f>SUM(C151:C151)</f>
        <v>450000000</v>
      </c>
      <c r="D150" s="13"/>
      <c r="E150" s="59"/>
      <c r="F150" s="57"/>
      <c r="G150" s="67"/>
      <c r="H150" s="67"/>
      <c r="I150" s="67"/>
      <c r="J150" s="67"/>
      <c r="K150" s="67"/>
      <c r="L150" s="67"/>
    </row>
    <row r="151" spans="1:12" s="37" customFormat="1" ht="22.5" customHeight="1">
      <c r="A151" s="11">
        <v>6954</v>
      </c>
      <c r="B151" s="11" t="s">
        <v>128</v>
      </c>
      <c r="C151" s="27">
        <v>450000000</v>
      </c>
      <c r="D151" s="27"/>
      <c r="E151" s="60">
        <f>(D151/C151)</f>
        <v>0</v>
      </c>
      <c r="F151" s="57"/>
      <c r="G151" s="67"/>
      <c r="H151" s="67"/>
      <c r="I151" s="67"/>
      <c r="J151" s="67"/>
      <c r="K151" s="67"/>
      <c r="L151" s="67"/>
    </row>
    <row r="152" ht="15.75">
      <c r="A152" s="34"/>
    </row>
    <row r="153" spans="1:6" ht="15.75">
      <c r="A153" s="153"/>
      <c r="D153" s="154" t="s">
        <v>133</v>
      </c>
      <c r="E153" s="154"/>
      <c r="F153" s="154"/>
    </row>
    <row r="154" spans="1:6" ht="15.75">
      <c r="A154" s="153"/>
      <c r="D154" s="155" t="s">
        <v>29</v>
      </c>
      <c r="E154" s="155"/>
      <c r="F154" s="155"/>
    </row>
    <row r="155" spans="1:6" ht="15.75">
      <c r="A155" s="40"/>
      <c r="D155" s="156" t="s">
        <v>113</v>
      </c>
      <c r="E155" s="156"/>
      <c r="F155" s="156"/>
    </row>
    <row r="159" spans="4:6" ht="15.75">
      <c r="D159" s="151" t="s">
        <v>132</v>
      </c>
      <c r="E159" s="151"/>
      <c r="F159" s="151"/>
    </row>
  </sheetData>
  <sheetProtection/>
  <mergeCells count="23">
    <mergeCell ref="A3:B3"/>
    <mergeCell ref="C2:F2"/>
    <mergeCell ref="C3:F3"/>
    <mergeCell ref="C4:F4"/>
    <mergeCell ref="A1:F1"/>
    <mergeCell ref="A5:F5"/>
    <mergeCell ref="A2:B2"/>
    <mergeCell ref="A6:F6"/>
    <mergeCell ref="A10:F10"/>
    <mergeCell ref="E11:E12"/>
    <mergeCell ref="F11:F12"/>
    <mergeCell ref="A7:F7"/>
    <mergeCell ref="A9:F9"/>
    <mergeCell ref="A8:F8"/>
    <mergeCell ref="D159:F159"/>
    <mergeCell ref="A11:A12"/>
    <mergeCell ref="B11:B12"/>
    <mergeCell ref="C11:C12"/>
    <mergeCell ref="D11:D12"/>
    <mergeCell ref="A153:A154"/>
    <mergeCell ref="D153:F153"/>
    <mergeCell ref="D154:F154"/>
    <mergeCell ref="D155:F155"/>
  </mergeCells>
  <printOptions/>
  <pageMargins left="0.58" right="0.2" top="0.37" bottom="0.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N159"/>
  <sheetViews>
    <sheetView zoomScalePageLayoutView="0" workbookViewId="0" topLeftCell="A1">
      <selection activeCell="A9" sqref="A9:F9"/>
    </sheetView>
  </sheetViews>
  <sheetFormatPr defaultColWidth="9.00390625" defaultRowHeight="15.75"/>
  <cols>
    <col min="1" max="1" width="5.125" style="14" customWidth="1"/>
    <col min="2" max="2" width="31.00390625" style="14" customWidth="1"/>
    <col min="3" max="3" width="15.125" style="14" customWidth="1"/>
    <col min="4" max="4" width="16.375" style="14" customWidth="1"/>
    <col min="5" max="5" width="13.125" style="65" customWidth="1"/>
    <col min="6" max="6" width="9.375" style="82" customWidth="1"/>
    <col min="7" max="7" width="21.375" style="66" customWidth="1"/>
    <col min="8" max="8" width="17.125" style="66" bestFit="1" customWidth="1"/>
    <col min="9" max="9" width="16.75390625" style="66" customWidth="1"/>
    <col min="10" max="14" width="9.00390625" style="66" customWidth="1"/>
    <col min="15" max="16384" width="9.00390625" style="36" customWidth="1"/>
  </cols>
  <sheetData>
    <row r="1" spans="1:6" ht="22.5" customHeight="1">
      <c r="A1" s="168" t="s">
        <v>104</v>
      </c>
      <c r="B1" s="168"/>
      <c r="C1" s="168"/>
      <c r="D1" s="168"/>
      <c r="E1" s="168"/>
      <c r="F1" s="168"/>
    </row>
    <row r="2" spans="1:6" ht="21.75" customHeight="1">
      <c r="A2" s="155" t="s">
        <v>114</v>
      </c>
      <c r="B2" s="155"/>
      <c r="C2" s="155" t="s">
        <v>105</v>
      </c>
      <c r="D2" s="155"/>
      <c r="E2" s="155"/>
      <c r="F2" s="155"/>
    </row>
    <row r="3" spans="1:6" ht="21.75" customHeight="1">
      <c r="A3" s="155" t="s">
        <v>89</v>
      </c>
      <c r="B3" s="155"/>
      <c r="C3" s="166" t="s">
        <v>111</v>
      </c>
      <c r="D3" s="155"/>
      <c r="E3" s="155"/>
      <c r="F3" s="155"/>
    </row>
    <row r="4" spans="1:6" ht="21.75" customHeight="1">
      <c r="A4" s="41"/>
      <c r="B4" s="41"/>
      <c r="C4" s="167" t="s">
        <v>152</v>
      </c>
      <c r="D4" s="167"/>
      <c r="E4" s="167"/>
      <c r="F4" s="167"/>
    </row>
    <row r="5" spans="1:6" ht="27.75" customHeight="1">
      <c r="A5" s="169" t="s">
        <v>135</v>
      </c>
      <c r="B5" s="170"/>
      <c r="C5" s="170"/>
      <c r="D5" s="170"/>
      <c r="E5" s="170"/>
      <c r="F5" s="170"/>
    </row>
    <row r="6" spans="1:6" ht="15.75">
      <c r="A6" s="157" t="s">
        <v>25</v>
      </c>
      <c r="B6" s="157"/>
      <c r="C6" s="157"/>
      <c r="D6" s="157"/>
      <c r="E6" s="157"/>
      <c r="F6" s="157"/>
    </row>
    <row r="7" spans="1:6" ht="39.75" customHeight="1">
      <c r="A7" s="162" t="s">
        <v>108</v>
      </c>
      <c r="B7" s="163"/>
      <c r="C7" s="163"/>
      <c r="D7" s="163"/>
      <c r="E7" s="163"/>
      <c r="F7" s="163"/>
    </row>
    <row r="8" spans="1:6" ht="59.25" customHeight="1">
      <c r="A8" s="164" t="s">
        <v>109</v>
      </c>
      <c r="B8" s="165"/>
      <c r="C8" s="165"/>
      <c r="D8" s="165"/>
      <c r="E8" s="165"/>
      <c r="F8" s="165"/>
    </row>
    <row r="9" spans="1:6" ht="38.25" customHeight="1">
      <c r="A9" s="162" t="s">
        <v>140</v>
      </c>
      <c r="B9" s="162"/>
      <c r="C9" s="162"/>
      <c r="D9" s="162"/>
      <c r="E9" s="162"/>
      <c r="F9" s="162"/>
    </row>
    <row r="10" spans="1:6" ht="15.75">
      <c r="A10" s="158" t="s">
        <v>87</v>
      </c>
      <c r="B10" s="158"/>
      <c r="C10" s="158"/>
      <c r="D10" s="158"/>
      <c r="E10" s="158"/>
      <c r="F10" s="158"/>
    </row>
    <row r="11" spans="1:6" ht="15.75" customHeight="1">
      <c r="A11" s="152" t="s">
        <v>2</v>
      </c>
      <c r="B11" s="152" t="s">
        <v>3</v>
      </c>
      <c r="C11" s="152" t="s">
        <v>26</v>
      </c>
      <c r="D11" s="152" t="s">
        <v>145</v>
      </c>
      <c r="E11" s="159" t="s">
        <v>106</v>
      </c>
      <c r="F11" s="160" t="s">
        <v>107</v>
      </c>
    </row>
    <row r="12" spans="1:6" ht="78" customHeight="1">
      <c r="A12" s="152"/>
      <c r="B12" s="152"/>
      <c r="C12" s="152"/>
      <c r="D12" s="152"/>
      <c r="E12" s="159"/>
      <c r="F12" s="161"/>
    </row>
    <row r="13" spans="1:6" ht="22.5" customHeight="1" hidden="1">
      <c r="A13" s="15">
        <v>1</v>
      </c>
      <c r="B13" s="16" t="s">
        <v>9</v>
      </c>
      <c r="C13" s="15"/>
      <c r="D13" s="15"/>
      <c r="E13" s="57"/>
      <c r="F13" s="57"/>
    </row>
    <row r="14" spans="1:6" ht="22.5" customHeight="1" hidden="1">
      <c r="A14" s="15">
        <v>1.1</v>
      </c>
      <c r="B14" s="16" t="s">
        <v>10</v>
      </c>
      <c r="C14" s="15"/>
      <c r="D14" s="15"/>
      <c r="E14" s="57"/>
      <c r="F14" s="57"/>
    </row>
    <row r="15" spans="1:6" ht="22.5" customHeight="1" hidden="1">
      <c r="A15" s="15"/>
      <c r="B15" s="16" t="s">
        <v>11</v>
      </c>
      <c r="C15" s="15"/>
      <c r="D15" s="15"/>
      <c r="E15" s="57"/>
      <c r="F15" s="57"/>
    </row>
    <row r="16" spans="1:6" ht="22.5" customHeight="1" hidden="1">
      <c r="A16" s="15"/>
      <c r="B16" s="16" t="s">
        <v>12</v>
      </c>
      <c r="C16" s="15"/>
      <c r="D16" s="15"/>
      <c r="E16" s="57"/>
      <c r="F16" s="57"/>
    </row>
    <row r="17" spans="1:6" ht="22.5" customHeight="1" hidden="1">
      <c r="A17" s="15"/>
      <c r="B17" s="16" t="s">
        <v>27</v>
      </c>
      <c r="C17" s="15"/>
      <c r="D17" s="15"/>
      <c r="E17" s="57"/>
      <c r="F17" s="57"/>
    </row>
    <row r="18" spans="1:6" ht="22.5" customHeight="1" hidden="1">
      <c r="A18" s="15">
        <v>1.2</v>
      </c>
      <c r="B18" s="16" t="s">
        <v>13</v>
      </c>
      <c r="C18" s="15"/>
      <c r="D18" s="15"/>
      <c r="E18" s="57"/>
      <c r="F18" s="57"/>
    </row>
    <row r="19" spans="1:6" ht="22.5" customHeight="1" hidden="1">
      <c r="A19" s="15"/>
      <c r="B19" s="16" t="s">
        <v>14</v>
      </c>
      <c r="C19" s="15"/>
      <c r="D19" s="15"/>
      <c r="E19" s="57"/>
      <c r="F19" s="57"/>
    </row>
    <row r="20" spans="1:6" ht="22.5" customHeight="1" hidden="1">
      <c r="A20" s="15"/>
      <c r="B20" s="16" t="s">
        <v>15</v>
      </c>
      <c r="C20" s="15"/>
      <c r="D20" s="15"/>
      <c r="E20" s="57"/>
      <c r="F20" s="57"/>
    </row>
    <row r="21" spans="1:6" ht="22.5" customHeight="1" hidden="1">
      <c r="A21" s="15"/>
      <c r="B21" s="16" t="s">
        <v>27</v>
      </c>
      <c r="C21" s="15"/>
      <c r="D21" s="15"/>
      <c r="E21" s="57"/>
      <c r="F21" s="57"/>
    </row>
    <row r="22" spans="1:6" ht="22.5" customHeight="1" hidden="1">
      <c r="A22" s="15">
        <v>2</v>
      </c>
      <c r="B22" s="16" t="s">
        <v>16</v>
      </c>
      <c r="C22" s="15"/>
      <c r="D22" s="15"/>
      <c r="E22" s="57"/>
      <c r="F22" s="57"/>
    </row>
    <row r="23" spans="1:6" ht="22.5" customHeight="1" hidden="1">
      <c r="A23" s="15">
        <v>2.1</v>
      </c>
      <c r="B23" s="16" t="s">
        <v>28</v>
      </c>
      <c r="C23" s="15"/>
      <c r="D23" s="15"/>
      <c r="E23" s="57"/>
      <c r="F23" s="57"/>
    </row>
    <row r="24" spans="1:6" ht="22.5" customHeight="1" hidden="1">
      <c r="A24" s="15" t="s">
        <v>17</v>
      </c>
      <c r="B24" s="16" t="s">
        <v>18</v>
      </c>
      <c r="C24" s="15"/>
      <c r="D24" s="15"/>
      <c r="E24" s="57"/>
      <c r="F24" s="57"/>
    </row>
    <row r="25" spans="1:6" ht="22.5" customHeight="1" hidden="1">
      <c r="A25" s="15" t="s">
        <v>19</v>
      </c>
      <c r="B25" s="16" t="s">
        <v>6</v>
      </c>
      <c r="C25" s="15"/>
      <c r="D25" s="15"/>
      <c r="E25" s="57"/>
      <c r="F25" s="57"/>
    </row>
    <row r="26" spans="1:6" ht="22.5" customHeight="1" hidden="1">
      <c r="A26" s="15">
        <v>2.2</v>
      </c>
      <c r="B26" s="16" t="s">
        <v>4</v>
      </c>
      <c r="C26" s="15"/>
      <c r="D26" s="15"/>
      <c r="E26" s="57"/>
      <c r="F26" s="57"/>
    </row>
    <row r="27" spans="1:6" ht="22.5" customHeight="1" hidden="1">
      <c r="A27" s="15" t="s">
        <v>17</v>
      </c>
      <c r="B27" s="16" t="s">
        <v>20</v>
      </c>
      <c r="C27" s="15"/>
      <c r="D27" s="15"/>
      <c r="E27" s="57"/>
      <c r="F27" s="57"/>
    </row>
    <row r="28" spans="1:6" ht="22.5" customHeight="1" hidden="1">
      <c r="A28" s="15" t="s">
        <v>19</v>
      </c>
      <c r="B28" s="16" t="s">
        <v>5</v>
      </c>
      <c r="C28" s="15"/>
      <c r="D28" s="15"/>
      <c r="E28" s="57"/>
      <c r="F28" s="57"/>
    </row>
    <row r="29" spans="1:6" ht="22.5" customHeight="1" hidden="1">
      <c r="A29" s="15">
        <v>3</v>
      </c>
      <c r="B29" s="16" t="s">
        <v>21</v>
      </c>
      <c r="C29" s="15"/>
      <c r="D29" s="15"/>
      <c r="E29" s="57"/>
      <c r="F29" s="57"/>
    </row>
    <row r="30" spans="1:6" ht="22.5" customHeight="1" hidden="1">
      <c r="A30" s="15">
        <v>3.1</v>
      </c>
      <c r="B30" s="16" t="s">
        <v>10</v>
      </c>
      <c r="C30" s="15"/>
      <c r="D30" s="15"/>
      <c r="E30" s="57"/>
      <c r="F30" s="57"/>
    </row>
    <row r="31" spans="1:6" ht="22.5" customHeight="1" hidden="1">
      <c r="A31" s="15"/>
      <c r="B31" s="16" t="s">
        <v>11</v>
      </c>
      <c r="C31" s="15"/>
      <c r="D31" s="15"/>
      <c r="E31" s="57"/>
      <c r="F31" s="57"/>
    </row>
    <row r="32" spans="1:6" ht="22.5" customHeight="1" hidden="1">
      <c r="A32" s="15"/>
      <c r="B32" s="16" t="s">
        <v>12</v>
      </c>
      <c r="C32" s="15"/>
      <c r="D32" s="15"/>
      <c r="E32" s="57"/>
      <c r="F32" s="57"/>
    </row>
    <row r="33" spans="1:6" ht="22.5" customHeight="1" hidden="1">
      <c r="A33" s="15"/>
      <c r="B33" s="16" t="s">
        <v>27</v>
      </c>
      <c r="C33" s="15"/>
      <c r="D33" s="15"/>
      <c r="E33" s="57"/>
      <c r="F33" s="57"/>
    </row>
    <row r="34" spans="1:6" ht="22.5" customHeight="1" hidden="1">
      <c r="A34" s="15">
        <v>3.2</v>
      </c>
      <c r="B34" s="16" t="s">
        <v>13</v>
      </c>
      <c r="C34" s="15"/>
      <c r="D34" s="15"/>
      <c r="E34" s="57"/>
      <c r="F34" s="57"/>
    </row>
    <row r="35" spans="1:6" ht="22.5" customHeight="1" hidden="1">
      <c r="A35" s="15"/>
      <c r="B35" s="16" t="s">
        <v>14</v>
      </c>
      <c r="C35" s="15"/>
      <c r="D35" s="15"/>
      <c r="E35" s="57"/>
      <c r="F35" s="57"/>
    </row>
    <row r="36" spans="1:6" ht="22.5" customHeight="1" hidden="1">
      <c r="A36" s="15"/>
      <c r="B36" s="16" t="s">
        <v>15</v>
      </c>
      <c r="C36" s="15"/>
      <c r="D36" s="15"/>
      <c r="E36" s="57"/>
      <c r="F36" s="57"/>
    </row>
    <row r="37" spans="1:6" ht="22.5" customHeight="1" hidden="1">
      <c r="A37" s="15"/>
      <c r="B37" s="16" t="s">
        <v>27</v>
      </c>
      <c r="C37" s="15"/>
      <c r="D37" s="15"/>
      <c r="E37" s="57"/>
      <c r="F37" s="57"/>
    </row>
    <row r="38" spans="1:14" s="37" customFormat="1" ht="22.5" customHeight="1">
      <c r="A38" s="15" t="s">
        <v>1</v>
      </c>
      <c r="B38" s="16" t="s">
        <v>22</v>
      </c>
      <c r="C38" s="17">
        <f>C39</f>
        <v>8070915000</v>
      </c>
      <c r="D38" s="17">
        <f>D39</f>
        <v>1697023879</v>
      </c>
      <c r="E38" s="60">
        <f>(D38/C38)</f>
        <v>0.21026412482351753</v>
      </c>
      <c r="F38" s="59">
        <f>G38/D38</f>
        <v>0</v>
      </c>
      <c r="G38" s="67"/>
      <c r="H38" s="67"/>
      <c r="I38" s="67"/>
      <c r="J38" s="67"/>
      <c r="K38" s="67"/>
      <c r="L38" s="67"/>
      <c r="M38" s="67"/>
      <c r="N38" s="67"/>
    </row>
    <row r="39" spans="1:14" s="37" customFormat="1" ht="36" customHeight="1">
      <c r="A39" s="15">
        <v>1</v>
      </c>
      <c r="B39" s="16" t="s">
        <v>7</v>
      </c>
      <c r="C39" s="17">
        <f>C40+C61+C131</f>
        <v>8070915000</v>
      </c>
      <c r="D39" s="17">
        <f>D40+D61+D131</f>
        <v>1697023879</v>
      </c>
      <c r="E39" s="60">
        <f>(D39/C39)</f>
        <v>0.21026412482351753</v>
      </c>
      <c r="F39" s="59">
        <f>G39/D39</f>
        <v>0.9710003874376832</v>
      </c>
      <c r="G39" s="17">
        <f>G40+G61+G131</f>
        <v>1647810844</v>
      </c>
      <c r="H39" s="67">
        <f>G39-C39</f>
        <v>-6423104156</v>
      </c>
      <c r="I39" s="67"/>
      <c r="J39" s="67"/>
      <c r="K39" s="67"/>
      <c r="L39" s="67"/>
      <c r="M39" s="67"/>
      <c r="N39" s="67"/>
    </row>
    <row r="40" spans="1:14" s="39" customFormat="1" ht="22.5" customHeight="1">
      <c r="A40" s="47">
        <v>1.1</v>
      </c>
      <c r="B40" s="48" t="s">
        <v>20</v>
      </c>
      <c r="C40" s="17">
        <f>C41+C44+C46+C51+C54+C59+C77+C81+C85+C90+C94+C100+C104+C111+C116+C125</f>
        <v>5930274000</v>
      </c>
      <c r="D40" s="17">
        <f>D41+D44+D46+D51+D54+D59+D77+D81+D85+D90+D94+D100+D104+D111+D116+D125</f>
        <v>1393598782</v>
      </c>
      <c r="E40" s="60">
        <f>(D40/C40)</f>
        <v>0.23499736808113755</v>
      </c>
      <c r="F40" s="59">
        <f>G40/D40</f>
        <v>1.1613410078310473</v>
      </c>
      <c r="G40" s="17">
        <f>G41+G44+G46+G51+G54+G59+G77+G81+G85+G90+G94+G100+G104+G111+G116+G125</f>
        <v>1618443414</v>
      </c>
      <c r="H40" s="68">
        <f>G40-D40</f>
        <v>224844632</v>
      </c>
      <c r="I40" s="68"/>
      <c r="J40" s="68"/>
      <c r="K40" s="68"/>
      <c r="L40" s="68"/>
      <c r="M40" s="68"/>
      <c r="N40" s="68"/>
    </row>
    <row r="41" spans="1:14" s="37" customFormat="1" ht="22.5" customHeight="1">
      <c r="A41" s="18">
        <v>6000</v>
      </c>
      <c r="B41" s="18" t="s">
        <v>35</v>
      </c>
      <c r="C41" s="19">
        <f>SUM(C42:C43)</f>
        <v>2235499200</v>
      </c>
      <c r="D41" s="19">
        <f>SUM(D42:D43)</f>
        <v>576711600</v>
      </c>
      <c r="E41" s="59"/>
      <c r="F41" s="59">
        <f>G41/D41</f>
        <v>1.305108307167742</v>
      </c>
      <c r="G41" s="67">
        <v>752671100</v>
      </c>
      <c r="H41" s="67"/>
      <c r="I41" s="67"/>
      <c r="J41" s="67"/>
      <c r="K41" s="67"/>
      <c r="L41" s="67"/>
      <c r="M41" s="67"/>
      <c r="N41" s="67"/>
    </row>
    <row r="42" spans="1:14" s="37" customFormat="1" ht="22.5" customHeight="1">
      <c r="A42" s="11">
        <v>6001</v>
      </c>
      <c r="B42" s="11" t="s">
        <v>30</v>
      </c>
      <c r="C42" s="20">
        <v>2235499200</v>
      </c>
      <c r="D42" s="23">
        <f>755476800-178765200</f>
        <v>576711600</v>
      </c>
      <c r="E42" s="60">
        <f>(D42/C42)</f>
        <v>0.25797888901056193</v>
      </c>
      <c r="F42" s="60"/>
      <c r="G42" s="67"/>
      <c r="H42" s="67"/>
      <c r="I42" s="67"/>
      <c r="J42" s="67"/>
      <c r="K42" s="67"/>
      <c r="L42" s="67"/>
      <c r="M42" s="67"/>
      <c r="N42" s="67"/>
    </row>
    <row r="43" spans="1:14" s="37" customFormat="1" ht="22.5" customHeight="1">
      <c r="A43" s="11">
        <v>6003</v>
      </c>
      <c r="B43" s="11" t="s">
        <v>31</v>
      </c>
      <c r="C43" s="20"/>
      <c r="D43" s="23"/>
      <c r="E43" s="60"/>
      <c r="F43" s="60"/>
      <c r="G43" s="67"/>
      <c r="H43" s="67"/>
      <c r="I43" s="67"/>
      <c r="J43" s="67"/>
      <c r="K43" s="67"/>
      <c r="L43" s="67"/>
      <c r="M43" s="67"/>
      <c r="N43" s="67"/>
    </row>
    <row r="44" spans="1:14" s="39" customFormat="1" ht="33.75" customHeight="1">
      <c r="A44" s="21">
        <v>6050</v>
      </c>
      <c r="B44" s="24" t="s">
        <v>138</v>
      </c>
      <c r="C44" s="75">
        <f>C45</f>
        <v>365052000</v>
      </c>
      <c r="D44" s="76">
        <f>D45</f>
        <v>223101021</v>
      </c>
      <c r="E44" s="58"/>
      <c r="F44" s="59">
        <f>G44/D44</f>
        <v>0</v>
      </c>
      <c r="G44" s="68"/>
      <c r="H44" s="68">
        <f>C44+C41</f>
        <v>2600551200</v>
      </c>
      <c r="I44" s="68"/>
      <c r="J44" s="68"/>
      <c r="K44" s="68"/>
      <c r="L44" s="68"/>
      <c r="M44" s="68"/>
      <c r="N44" s="68"/>
    </row>
    <row r="45" spans="1:14" s="37" customFormat="1" ht="35.25" customHeight="1">
      <c r="A45" s="11">
        <v>6051</v>
      </c>
      <c r="B45" s="29" t="s">
        <v>138</v>
      </c>
      <c r="C45" s="20">
        <v>365052000</v>
      </c>
      <c r="D45" s="71">
        <v>223101021</v>
      </c>
      <c r="E45" s="60">
        <f>(D45/C45)</f>
        <v>0.6111486062259623</v>
      </c>
      <c r="F45" s="60"/>
      <c r="G45" s="67"/>
      <c r="H45" s="67"/>
      <c r="I45" s="67"/>
      <c r="J45" s="67"/>
      <c r="K45" s="67"/>
      <c r="L45" s="67"/>
      <c r="M45" s="67"/>
      <c r="N45" s="67"/>
    </row>
    <row r="46" spans="1:14" s="37" customFormat="1" ht="22.5" customHeight="1">
      <c r="A46" s="18">
        <v>6100</v>
      </c>
      <c r="B46" s="18" t="s">
        <v>36</v>
      </c>
      <c r="C46" s="19">
        <f>SUM(C47:C50)+1</f>
        <v>1308230786</v>
      </c>
      <c r="D46" s="19">
        <f>SUM(D47:D50)</f>
        <v>331936033</v>
      </c>
      <c r="E46" s="61"/>
      <c r="F46" s="59">
        <f>G46/D46</f>
        <v>1.5523120534491657</v>
      </c>
      <c r="G46" s="67">
        <v>515268305</v>
      </c>
      <c r="H46" s="67"/>
      <c r="I46" s="67"/>
      <c r="J46" s="67"/>
      <c r="K46" s="67"/>
      <c r="L46" s="67"/>
      <c r="M46" s="67"/>
      <c r="N46" s="67"/>
    </row>
    <row r="47" spans="1:14" s="37" customFormat="1" ht="22.5" customHeight="1">
      <c r="A47" s="11">
        <v>6101</v>
      </c>
      <c r="B47" s="11" t="s">
        <v>32</v>
      </c>
      <c r="C47" s="20">
        <v>47190000</v>
      </c>
      <c r="D47" s="23">
        <v>8712000</v>
      </c>
      <c r="E47" s="60">
        <f>(D47/C47)</f>
        <v>0.18461538461538463</v>
      </c>
      <c r="F47" s="60"/>
      <c r="G47" s="67"/>
      <c r="H47" s="67"/>
      <c r="I47" s="67"/>
      <c r="J47" s="67"/>
      <c r="K47" s="67"/>
      <c r="L47" s="67"/>
      <c r="M47" s="67"/>
      <c r="N47" s="67"/>
    </row>
    <row r="48" spans="1:14" s="37" customFormat="1" ht="22.5" customHeight="1">
      <c r="A48" s="11">
        <v>6112</v>
      </c>
      <c r="B48" s="11" t="s">
        <v>33</v>
      </c>
      <c r="C48" s="20">
        <v>814246243</v>
      </c>
      <c r="D48" s="23">
        <v>206139835</v>
      </c>
      <c r="E48" s="60">
        <f>(D48/C48)</f>
        <v>0.2531664551997202</v>
      </c>
      <c r="F48" s="60"/>
      <c r="G48" s="67"/>
      <c r="H48" s="67"/>
      <c r="I48" s="67"/>
      <c r="J48" s="67"/>
      <c r="K48" s="67"/>
      <c r="L48" s="67"/>
      <c r="M48" s="67"/>
      <c r="N48" s="67"/>
    </row>
    <row r="49" spans="1:14" s="37" customFormat="1" ht="22.5" customHeight="1">
      <c r="A49" s="11">
        <v>6113</v>
      </c>
      <c r="B49" s="11" t="s">
        <v>34</v>
      </c>
      <c r="C49" s="20">
        <v>7260000</v>
      </c>
      <c r="D49" s="23">
        <v>1815000</v>
      </c>
      <c r="E49" s="60">
        <f>(D49/C49)</f>
        <v>0.25</v>
      </c>
      <c r="F49" s="60"/>
      <c r="G49" s="67"/>
      <c r="H49" s="67"/>
      <c r="I49" s="67"/>
      <c r="J49" s="67"/>
      <c r="K49" s="67"/>
      <c r="L49" s="67"/>
      <c r="M49" s="67"/>
      <c r="N49" s="67"/>
    </row>
    <row r="50" spans="1:14" s="37" customFormat="1" ht="22.5" customHeight="1">
      <c r="A50" s="11">
        <v>6115</v>
      </c>
      <c r="B50" s="11" t="s">
        <v>95</v>
      </c>
      <c r="C50" s="20">
        <v>439534542</v>
      </c>
      <c r="D50" s="23">
        <v>115269198</v>
      </c>
      <c r="E50" s="60">
        <f>(D50/C50)</f>
        <v>0.2622528765896174</v>
      </c>
      <c r="F50" s="60"/>
      <c r="G50" s="67"/>
      <c r="H50" s="67"/>
      <c r="I50" s="67"/>
      <c r="J50" s="67"/>
      <c r="K50" s="67"/>
      <c r="L50" s="67"/>
      <c r="M50" s="67"/>
      <c r="N50" s="67"/>
    </row>
    <row r="51" spans="1:14" s="37" customFormat="1" ht="22.5" customHeight="1">
      <c r="A51" s="18">
        <v>6250</v>
      </c>
      <c r="B51" s="18" t="s">
        <v>37</v>
      </c>
      <c r="C51" s="19">
        <f>SUM(C52:C53)</f>
        <v>7350000</v>
      </c>
      <c r="D51" s="19">
        <f>SUM(D52:D53)</f>
        <v>750000</v>
      </c>
      <c r="E51" s="61"/>
      <c r="F51" s="59">
        <f>G51/D51</f>
        <v>0</v>
      </c>
      <c r="G51" s="67"/>
      <c r="H51" s="67"/>
      <c r="I51" s="67"/>
      <c r="J51" s="67"/>
      <c r="K51" s="67"/>
      <c r="L51" s="67"/>
      <c r="M51" s="67"/>
      <c r="N51" s="67"/>
    </row>
    <row r="52" spans="1:14" s="37" customFormat="1" ht="22.5" customHeight="1">
      <c r="A52" s="11">
        <v>6253</v>
      </c>
      <c r="B52" s="11" t="s">
        <v>38</v>
      </c>
      <c r="C52" s="20">
        <v>3318000</v>
      </c>
      <c r="D52" s="20"/>
      <c r="E52" s="60">
        <f>(D52/C52)</f>
        <v>0</v>
      </c>
      <c r="F52" s="57"/>
      <c r="G52" s="67"/>
      <c r="H52" s="67"/>
      <c r="I52" s="67"/>
      <c r="J52" s="67"/>
      <c r="K52" s="67"/>
      <c r="L52" s="67"/>
      <c r="M52" s="67"/>
      <c r="N52" s="67"/>
    </row>
    <row r="53" spans="1:14" s="37" customFormat="1" ht="22.5" customHeight="1">
      <c r="A53" s="11">
        <v>6257</v>
      </c>
      <c r="B53" s="11" t="s">
        <v>39</v>
      </c>
      <c r="C53" s="20">
        <v>4032000</v>
      </c>
      <c r="D53" s="20">
        <v>750000</v>
      </c>
      <c r="E53" s="60">
        <f>(D53/C53)</f>
        <v>0.18601190476190477</v>
      </c>
      <c r="F53" s="57"/>
      <c r="G53" s="67"/>
      <c r="H53" s="67"/>
      <c r="I53" s="67"/>
      <c r="J53" s="67"/>
      <c r="K53" s="67"/>
      <c r="L53" s="67"/>
      <c r="M53" s="67"/>
      <c r="N53" s="67"/>
    </row>
    <row r="54" spans="1:14" s="37" customFormat="1" ht="22.5" customHeight="1">
      <c r="A54" s="18">
        <v>6300</v>
      </c>
      <c r="B54" s="18" t="s">
        <v>40</v>
      </c>
      <c r="C54" s="19">
        <f>SUM(C55:C58)</f>
        <v>725509494</v>
      </c>
      <c r="D54" s="19">
        <f>SUM(D55:D58)</f>
        <v>164432864</v>
      </c>
      <c r="E54" s="59"/>
      <c r="F54" s="59">
        <f>G54/D54</f>
        <v>1.278940863062508</v>
      </c>
      <c r="G54" s="67">
        <v>210299909</v>
      </c>
      <c r="H54" s="67"/>
      <c r="I54" s="67"/>
      <c r="J54" s="67"/>
      <c r="K54" s="67"/>
      <c r="L54" s="67"/>
      <c r="M54" s="67"/>
      <c r="N54" s="67"/>
    </row>
    <row r="55" spans="1:14" s="37" customFormat="1" ht="22.5" customHeight="1">
      <c r="A55" s="11">
        <v>6301</v>
      </c>
      <c r="B55" s="11" t="s">
        <v>41</v>
      </c>
      <c r="C55" s="20">
        <v>540272950</v>
      </c>
      <c r="D55" s="20">
        <v>122621239</v>
      </c>
      <c r="E55" s="60">
        <f>(D55/C55)</f>
        <v>0.22696164781153674</v>
      </c>
      <c r="F55" s="60"/>
      <c r="G55" s="67"/>
      <c r="H55" s="67"/>
      <c r="I55" s="67"/>
      <c r="J55" s="67"/>
      <c r="K55" s="67"/>
      <c r="L55" s="67"/>
      <c r="M55" s="67"/>
      <c r="N55" s="67"/>
    </row>
    <row r="56" spans="1:14" s="37" customFormat="1" ht="22.5" customHeight="1">
      <c r="A56" s="11">
        <v>6302</v>
      </c>
      <c r="B56" s="11" t="s">
        <v>42</v>
      </c>
      <c r="C56" s="20">
        <v>92618272</v>
      </c>
      <c r="D56" s="20">
        <v>21020784</v>
      </c>
      <c r="E56" s="60">
        <f>(D56/C56)</f>
        <v>0.2269615222361307</v>
      </c>
      <c r="F56" s="60"/>
      <c r="G56" s="67"/>
      <c r="H56" s="67"/>
      <c r="I56" s="67"/>
      <c r="J56" s="67"/>
      <c r="K56" s="67"/>
      <c r="L56" s="67"/>
      <c r="M56" s="67"/>
      <c r="N56" s="67"/>
    </row>
    <row r="57" spans="1:14" s="37" customFormat="1" ht="22.5" customHeight="1">
      <c r="A57" s="11">
        <v>6303</v>
      </c>
      <c r="B57" s="11" t="s">
        <v>43</v>
      </c>
      <c r="C57" s="20">
        <v>61745515</v>
      </c>
      <c r="D57" s="20">
        <v>14013855</v>
      </c>
      <c r="E57" s="60">
        <f>(D57/C57)</f>
        <v>0.22696150481537</v>
      </c>
      <c r="F57" s="60"/>
      <c r="G57" s="67"/>
      <c r="H57" s="67"/>
      <c r="I57" s="67"/>
      <c r="J57" s="67"/>
      <c r="K57" s="67"/>
      <c r="L57" s="67"/>
      <c r="M57" s="67"/>
      <c r="N57" s="67"/>
    </row>
    <row r="58" spans="1:14" s="37" customFormat="1" ht="22.5" customHeight="1">
      <c r="A58" s="11">
        <v>6304</v>
      </c>
      <c r="B58" s="11" t="s">
        <v>44</v>
      </c>
      <c r="C58" s="20">
        <v>30872757</v>
      </c>
      <c r="D58" s="20">
        <v>6776986</v>
      </c>
      <c r="E58" s="60">
        <f>(D58/C58)</f>
        <v>0.21951346943196554</v>
      </c>
      <c r="F58" s="60"/>
      <c r="G58" s="67"/>
      <c r="H58" s="67"/>
      <c r="I58" s="67"/>
      <c r="J58" s="67"/>
      <c r="K58" s="67"/>
      <c r="L58" s="67"/>
      <c r="M58" s="67"/>
      <c r="N58" s="67"/>
    </row>
    <row r="59" spans="1:14" s="37" customFormat="1" ht="22.5" customHeight="1">
      <c r="A59" s="77">
        <v>6400</v>
      </c>
      <c r="B59" s="78" t="s">
        <v>79</v>
      </c>
      <c r="C59" s="22">
        <f>C60</f>
        <v>107262520</v>
      </c>
      <c r="D59" s="22">
        <f>D60</f>
        <v>3000000</v>
      </c>
      <c r="E59" s="62"/>
      <c r="F59" s="59">
        <f>G59/D59</f>
        <v>1.5</v>
      </c>
      <c r="G59" s="67">
        <v>4500000</v>
      </c>
      <c r="H59" s="67"/>
      <c r="I59" s="67"/>
      <c r="J59" s="67"/>
      <c r="K59" s="67"/>
      <c r="L59" s="67"/>
      <c r="M59" s="67"/>
      <c r="N59" s="67"/>
    </row>
    <row r="60" spans="1:14" s="37" customFormat="1" ht="22.5" customHeight="1">
      <c r="A60" s="79">
        <v>6404</v>
      </c>
      <c r="B60" s="70" t="s">
        <v>134</v>
      </c>
      <c r="C60" s="20">
        <v>107262520</v>
      </c>
      <c r="D60" s="20">
        <v>3000000</v>
      </c>
      <c r="E60" s="20"/>
      <c r="F60" s="60"/>
      <c r="G60" s="67"/>
      <c r="H60" s="67"/>
      <c r="I60" s="67"/>
      <c r="J60" s="67"/>
      <c r="K60" s="67"/>
      <c r="L60" s="67"/>
      <c r="M60" s="67"/>
      <c r="N60" s="67"/>
    </row>
    <row r="61" spans="1:14" s="37" customFormat="1" ht="22.5" customHeight="1">
      <c r="A61" s="47">
        <v>1.2</v>
      </c>
      <c r="B61" s="48" t="s">
        <v>115</v>
      </c>
      <c r="C61" s="75">
        <f>C62+C65+C70+C75</f>
        <v>1097219000</v>
      </c>
      <c r="D61" s="75">
        <f>D62+D65+D70+D75</f>
        <v>252693577</v>
      </c>
      <c r="E61" s="58">
        <f>(D61/C61)</f>
        <v>0.23030368322094313</v>
      </c>
      <c r="F61" s="58"/>
      <c r="G61" s="67"/>
      <c r="H61" s="67"/>
      <c r="I61" s="67"/>
      <c r="J61" s="67"/>
      <c r="K61" s="67"/>
      <c r="L61" s="67"/>
      <c r="M61" s="67"/>
      <c r="N61" s="67"/>
    </row>
    <row r="62" spans="1:14" s="37" customFormat="1" ht="22.5" customHeight="1">
      <c r="A62" s="18">
        <v>6000</v>
      </c>
      <c r="B62" s="18" t="s">
        <v>35</v>
      </c>
      <c r="C62" s="19">
        <f>SUM(C63:C64)</f>
        <v>601809600</v>
      </c>
      <c r="D62" s="19">
        <f>SUM(D63:D64)</f>
        <v>136998400</v>
      </c>
      <c r="E62" s="59"/>
      <c r="F62" s="59"/>
      <c r="G62" s="67"/>
      <c r="H62" s="67"/>
      <c r="I62" s="67"/>
      <c r="J62" s="67"/>
      <c r="K62" s="67"/>
      <c r="L62" s="67"/>
      <c r="M62" s="67"/>
      <c r="N62" s="67"/>
    </row>
    <row r="63" spans="1:14" s="37" customFormat="1" ht="22.5" customHeight="1">
      <c r="A63" s="11">
        <v>6001</v>
      </c>
      <c r="B63" s="11" t="s">
        <v>30</v>
      </c>
      <c r="C63" s="20">
        <f>435489600+166320000</f>
        <v>601809600</v>
      </c>
      <c r="D63" s="23">
        <f>162601600-25603200</f>
        <v>136998400</v>
      </c>
      <c r="E63" s="60">
        <f>(D63/C63)</f>
        <v>0.2276440920849385</v>
      </c>
      <c r="F63" s="60"/>
      <c r="G63" s="67"/>
      <c r="H63" s="67"/>
      <c r="I63" s="67"/>
      <c r="J63" s="67"/>
      <c r="K63" s="67"/>
      <c r="L63" s="67"/>
      <c r="M63" s="67"/>
      <c r="N63" s="67"/>
    </row>
    <row r="64" spans="1:14" s="37" customFormat="1" ht="22.5" customHeight="1">
      <c r="A64" s="11">
        <v>6003</v>
      </c>
      <c r="B64" s="11" t="s">
        <v>31</v>
      </c>
      <c r="C64" s="20"/>
      <c r="D64" s="23"/>
      <c r="E64" s="60"/>
      <c r="F64" s="60"/>
      <c r="G64" s="67"/>
      <c r="H64" s="67"/>
      <c r="I64" s="67"/>
      <c r="J64" s="67"/>
      <c r="K64" s="67"/>
      <c r="L64" s="67"/>
      <c r="M64" s="67"/>
      <c r="N64" s="67"/>
    </row>
    <row r="65" spans="1:14" s="37" customFormat="1" ht="22.5" customHeight="1">
      <c r="A65" s="18">
        <v>6100</v>
      </c>
      <c r="B65" s="18" t="s">
        <v>36</v>
      </c>
      <c r="C65" s="19">
        <f>SUM(C66:C69)</f>
        <v>310420235</v>
      </c>
      <c r="D65" s="19">
        <f>SUM(D66:D69)</f>
        <v>76811644</v>
      </c>
      <c r="E65" s="61"/>
      <c r="F65" s="59"/>
      <c r="G65" s="67"/>
      <c r="H65" s="67"/>
      <c r="I65" s="67"/>
      <c r="J65" s="67"/>
      <c r="K65" s="67"/>
      <c r="L65" s="67"/>
      <c r="M65" s="67"/>
      <c r="N65" s="67"/>
    </row>
    <row r="66" spans="1:14" s="37" customFormat="1" ht="22.5" customHeight="1">
      <c r="A66" s="11">
        <v>6101</v>
      </c>
      <c r="B66" s="11" t="s">
        <v>32</v>
      </c>
      <c r="C66" s="20">
        <v>10920000</v>
      </c>
      <c r="D66" s="23">
        <v>2016000</v>
      </c>
      <c r="E66" s="60">
        <f>(D66/C66)</f>
        <v>0.18461538461538463</v>
      </c>
      <c r="F66" s="60"/>
      <c r="G66" s="67"/>
      <c r="H66" s="67"/>
      <c r="I66" s="67"/>
      <c r="J66" s="67"/>
      <c r="K66" s="67"/>
      <c r="L66" s="67"/>
      <c r="M66" s="67"/>
      <c r="N66" s="67"/>
    </row>
    <row r="67" spans="1:14" s="37" customFormat="1" ht="22.5" customHeight="1">
      <c r="A67" s="11">
        <v>6112</v>
      </c>
      <c r="B67" s="11" t="s">
        <v>33</v>
      </c>
      <c r="C67" s="20">
        <v>196109760</v>
      </c>
      <c r="D67" s="23">
        <v>47701780</v>
      </c>
      <c r="E67" s="60">
        <f>(D67/C67)</f>
        <v>0.2432402140515597</v>
      </c>
      <c r="F67" s="60"/>
      <c r="G67" s="67"/>
      <c r="H67" s="67"/>
      <c r="I67" s="67"/>
      <c r="J67" s="67"/>
      <c r="K67" s="67"/>
      <c r="L67" s="67"/>
      <c r="M67" s="67"/>
      <c r="N67" s="67"/>
    </row>
    <row r="68" spans="1:14" s="37" customFormat="1" ht="22.5" customHeight="1">
      <c r="A68" s="11">
        <v>6113</v>
      </c>
      <c r="B68" s="11" t="s">
        <v>34</v>
      </c>
      <c r="C68" s="20">
        <v>1680000</v>
      </c>
      <c r="D68" s="23">
        <v>420000</v>
      </c>
      <c r="E68" s="60">
        <f>(D68/C68)</f>
        <v>0.25</v>
      </c>
      <c r="F68" s="60"/>
      <c r="G68" s="67"/>
      <c r="H68" s="67"/>
      <c r="I68" s="67"/>
      <c r="J68" s="67"/>
      <c r="K68" s="67"/>
      <c r="L68" s="67"/>
      <c r="M68" s="67"/>
      <c r="N68" s="67"/>
    </row>
    <row r="69" spans="1:14" s="37" customFormat="1" ht="22.5" customHeight="1">
      <c r="A69" s="11">
        <v>6115</v>
      </c>
      <c r="B69" s="11" t="s">
        <v>95</v>
      </c>
      <c r="C69" s="20">
        <v>101710475</v>
      </c>
      <c r="D69" s="23">
        <v>26673864</v>
      </c>
      <c r="E69" s="60">
        <f>(D69/C69)</f>
        <v>0.2622528702181363</v>
      </c>
      <c r="F69" s="60"/>
      <c r="G69" s="67"/>
      <c r="H69" s="67"/>
      <c r="I69" s="67"/>
      <c r="J69" s="67"/>
      <c r="K69" s="67"/>
      <c r="L69" s="67"/>
      <c r="M69" s="67"/>
      <c r="N69" s="67"/>
    </row>
    <row r="70" spans="1:14" s="37" customFormat="1" ht="22.5" customHeight="1">
      <c r="A70" s="18">
        <v>6300</v>
      </c>
      <c r="B70" s="18" t="s">
        <v>40</v>
      </c>
      <c r="C70" s="19">
        <f>SUM(C71:C74)</f>
        <v>167893112</v>
      </c>
      <c r="D70" s="19">
        <f>SUM(D71:D74)</f>
        <v>38883533</v>
      </c>
      <c r="E70" s="59"/>
      <c r="F70" s="59"/>
      <c r="G70" s="67"/>
      <c r="H70" s="67"/>
      <c r="I70" s="67"/>
      <c r="J70" s="67"/>
      <c r="K70" s="67"/>
      <c r="L70" s="67"/>
      <c r="M70" s="67"/>
      <c r="N70" s="67"/>
    </row>
    <row r="71" spans="1:14" s="37" customFormat="1" ht="22.5" customHeight="1">
      <c r="A71" s="11">
        <v>6301</v>
      </c>
      <c r="B71" s="11" t="s">
        <v>41</v>
      </c>
      <c r="C71" s="20">
        <v>125026708</v>
      </c>
      <c r="D71" s="20">
        <v>28995446</v>
      </c>
      <c r="E71" s="60">
        <f>(D71/C71)</f>
        <v>0.23191401632361622</v>
      </c>
      <c r="F71" s="60"/>
      <c r="G71" s="67"/>
      <c r="H71" s="67"/>
      <c r="I71" s="67"/>
      <c r="J71" s="67"/>
      <c r="K71" s="67"/>
      <c r="L71" s="67"/>
      <c r="M71" s="67"/>
      <c r="N71" s="67"/>
    </row>
    <row r="72" spans="1:14" s="37" customFormat="1" ht="22.5" customHeight="1">
      <c r="A72" s="11">
        <v>6302</v>
      </c>
      <c r="B72" s="11" t="s">
        <v>42</v>
      </c>
      <c r="C72" s="20">
        <v>21433202</v>
      </c>
      <c r="D72" s="20">
        <v>4970648</v>
      </c>
      <c r="E72" s="60">
        <f>(D72/C72)</f>
        <v>0.23191345838106692</v>
      </c>
      <c r="F72" s="60"/>
      <c r="G72" s="67"/>
      <c r="H72" s="67"/>
      <c r="I72" s="67"/>
      <c r="J72" s="67"/>
      <c r="K72" s="67"/>
      <c r="L72" s="67"/>
      <c r="M72" s="67"/>
      <c r="N72" s="67"/>
    </row>
    <row r="73" spans="1:14" s="37" customFormat="1" ht="22.5" customHeight="1">
      <c r="A73" s="11">
        <v>6303</v>
      </c>
      <c r="B73" s="11" t="s">
        <v>43</v>
      </c>
      <c r="C73" s="20">
        <v>14288801</v>
      </c>
      <c r="D73" s="20">
        <v>3313766</v>
      </c>
      <c r="E73" s="60">
        <f>(D73/C73)</f>
        <v>0.23191351044779754</v>
      </c>
      <c r="F73" s="60"/>
      <c r="G73" s="67"/>
      <c r="H73" s="67"/>
      <c r="I73" s="67"/>
      <c r="J73" s="67"/>
      <c r="K73" s="67"/>
      <c r="L73" s="67"/>
      <c r="M73" s="67"/>
      <c r="N73" s="67"/>
    </row>
    <row r="74" spans="1:14" s="37" customFormat="1" ht="22.5" customHeight="1">
      <c r="A74" s="11">
        <v>6304</v>
      </c>
      <c r="B74" s="11" t="s">
        <v>44</v>
      </c>
      <c r="C74" s="20">
        <v>7144401</v>
      </c>
      <c r="D74" s="20">
        <v>1603673</v>
      </c>
      <c r="E74" s="60">
        <f>(D74/C74)</f>
        <v>0.22446570398274118</v>
      </c>
      <c r="F74" s="60"/>
      <c r="G74" s="67"/>
      <c r="H74" s="67"/>
      <c r="I74" s="67"/>
      <c r="J74" s="67"/>
      <c r="K74" s="67"/>
      <c r="L74" s="67"/>
      <c r="M74" s="67"/>
      <c r="N74" s="67"/>
    </row>
    <row r="75" spans="1:14" s="52" customFormat="1" ht="22.5" customHeight="1">
      <c r="A75" s="18">
        <v>7750</v>
      </c>
      <c r="B75" s="18" t="s">
        <v>129</v>
      </c>
      <c r="C75" s="19">
        <f>C76</f>
        <v>17096053</v>
      </c>
      <c r="D75" s="19"/>
      <c r="E75" s="59"/>
      <c r="F75" s="59"/>
      <c r="G75" s="69"/>
      <c r="H75" s="69"/>
      <c r="I75" s="69"/>
      <c r="J75" s="69"/>
      <c r="K75" s="69"/>
      <c r="L75" s="69"/>
      <c r="M75" s="69"/>
      <c r="N75" s="69"/>
    </row>
    <row r="76" spans="1:14" s="37" customFormat="1" ht="22.5" customHeight="1">
      <c r="A76" s="11">
        <v>7799</v>
      </c>
      <c r="B76" s="11" t="s">
        <v>130</v>
      </c>
      <c r="C76" s="20">
        <v>17096053</v>
      </c>
      <c r="D76" s="20"/>
      <c r="E76" s="60"/>
      <c r="F76" s="60"/>
      <c r="G76" s="67"/>
      <c r="H76" s="67"/>
      <c r="I76" s="67"/>
      <c r="J76" s="67"/>
      <c r="K76" s="67"/>
      <c r="L76" s="67"/>
      <c r="M76" s="67"/>
      <c r="N76" s="67"/>
    </row>
    <row r="77" spans="1:14" s="37" customFormat="1" ht="22.5" customHeight="1">
      <c r="A77" s="18">
        <v>6500</v>
      </c>
      <c r="B77" s="18" t="s">
        <v>45</v>
      </c>
      <c r="C77" s="26">
        <f>SUM(C78:C80)</f>
        <v>111900000</v>
      </c>
      <c r="D77" s="26">
        <f>SUM(D78:D80)</f>
        <v>8329898</v>
      </c>
      <c r="E77" s="59"/>
      <c r="F77" s="59">
        <f>G77/D77</f>
        <v>0.7389046060347918</v>
      </c>
      <c r="G77" s="67">
        <v>6155000</v>
      </c>
      <c r="H77" s="67"/>
      <c r="I77" s="67"/>
      <c r="J77" s="67"/>
      <c r="K77" s="67"/>
      <c r="L77" s="67"/>
      <c r="M77" s="67"/>
      <c r="N77" s="67"/>
    </row>
    <row r="78" spans="1:14" s="37" customFormat="1" ht="22.5" customHeight="1">
      <c r="A78" s="11">
        <v>6501</v>
      </c>
      <c r="B78" s="11" t="s">
        <v>46</v>
      </c>
      <c r="C78" s="27">
        <v>90000000</v>
      </c>
      <c r="D78" s="20">
        <v>1129898</v>
      </c>
      <c r="E78" s="60">
        <f>(D78/C78)</f>
        <v>0.012554422222222222</v>
      </c>
      <c r="F78" s="60"/>
      <c r="G78" s="67"/>
      <c r="H78" s="67"/>
      <c r="I78" s="67"/>
      <c r="J78" s="67"/>
      <c r="K78" s="67"/>
      <c r="L78" s="67"/>
      <c r="M78" s="67"/>
      <c r="N78" s="67"/>
    </row>
    <row r="79" spans="1:14" s="37" customFormat="1" ht="22.5" customHeight="1">
      <c r="A79" s="11">
        <v>6502</v>
      </c>
      <c r="B79" s="11" t="s">
        <v>47</v>
      </c>
      <c r="C79" s="27">
        <v>4800000</v>
      </c>
      <c r="D79" s="20"/>
      <c r="E79" s="60">
        <f>(D79/C79)</f>
        <v>0</v>
      </c>
      <c r="F79" s="60"/>
      <c r="G79" s="67"/>
      <c r="H79" s="67"/>
      <c r="I79" s="67"/>
      <c r="J79" s="67"/>
      <c r="K79" s="67"/>
      <c r="L79" s="67"/>
      <c r="M79" s="67"/>
      <c r="N79" s="67"/>
    </row>
    <row r="80" spans="1:14" s="37" customFormat="1" ht="22.5" customHeight="1">
      <c r="A80" s="11">
        <v>6504</v>
      </c>
      <c r="B80" s="11" t="s">
        <v>48</v>
      </c>
      <c r="C80" s="27">
        <v>17100000</v>
      </c>
      <c r="D80" s="20">
        <v>7200000</v>
      </c>
      <c r="E80" s="60">
        <f>(D80/C80)</f>
        <v>0.42105263157894735</v>
      </c>
      <c r="F80" s="60"/>
      <c r="G80" s="67"/>
      <c r="H80" s="67"/>
      <c r="I80" s="67"/>
      <c r="J80" s="67"/>
      <c r="K80" s="67"/>
      <c r="L80" s="67"/>
      <c r="M80" s="67"/>
      <c r="N80" s="67"/>
    </row>
    <row r="81" spans="1:14" s="37" customFormat="1" ht="22.5" customHeight="1">
      <c r="A81" s="18">
        <v>6550</v>
      </c>
      <c r="B81" s="18" t="s">
        <v>49</v>
      </c>
      <c r="C81" s="13">
        <f>SUM(C82:C84)</f>
        <v>124562200</v>
      </c>
      <c r="D81" s="13">
        <f>SUM(D82:D84)</f>
        <v>8749500</v>
      </c>
      <c r="E81" s="59"/>
      <c r="F81" s="59">
        <f>G81/D81</f>
        <v>2.229613120749757</v>
      </c>
      <c r="G81" s="67">
        <v>19508000</v>
      </c>
      <c r="H81" s="67"/>
      <c r="I81" s="67"/>
      <c r="J81" s="67"/>
      <c r="K81" s="67"/>
      <c r="L81" s="67"/>
      <c r="M81" s="67"/>
      <c r="N81" s="67"/>
    </row>
    <row r="82" spans="1:14" s="37" customFormat="1" ht="22.5" customHeight="1">
      <c r="A82" s="11">
        <v>6551</v>
      </c>
      <c r="B82" s="11" t="s">
        <v>50</v>
      </c>
      <c r="C82" s="27">
        <v>43212200</v>
      </c>
      <c r="D82" s="20">
        <v>1020000</v>
      </c>
      <c r="E82" s="60">
        <f>(D82/C82)</f>
        <v>0.023604445040983798</v>
      </c>
      <c r="F82" s="60"/>
      <c r="G82" s="67"/>
      <c r="H82" s="67"/>
      <c r="I82" s="67"/>
      <c r="J82" s="67"/>
      <c r="K82" s="67"/>
      <c r="L82" s="67"/>
      <c r="M82" s="67"/>
      <c r="N82" s="67"/>
    </row>
    <row r="83" spans="1:14" s="37" customFormat="1" ht="22.5" customHeight="1">
      <c r="A83" s="11">
        <v>6552</v>
      </c>
      <c r="B83" s="11" t="s">
        <v>51</v>
      </c>
      <c r="C83" s="27">
        <v>10200000</v>
      </c>
      <c r="D83" s="20"/>
      <c r="E83" s="60">
        <f>(D83/C83)</f>
        <v>0</v>
      </c>
      <c r="F83" s="60"/>
      <c r="G83" s="67"/>
      <c r="H83" s="67"/>
      <c r="I83" s="67"/>
      <c r="J83" s="67"/>
      <c r="K83" s="67"/>
      <c r="L83" s="67"/>
      <c r="M83" s="67"/>
      <c r="N83" s="67"/>
    </row>
    <row r="84" spans="1:14" s="37" customFormat="1" ht="22.5" customHeight="1">
      <c r="A84" s="11">
        <v>6559</v>
      </c>
      <c r="B84" s="11" t="s">
        <v>52</v>
      </c>
      <c r="C84" s="27">
        <v>71150000</v>
      </c>
      <c r="D84" s="20">
        <v>7729500</v>
      </c>
      <c r="E84" s="60">
        <f>(D84/C84)</f>
        <v>0.1086366830639494</v>
      </c>
      <c r="F84" s="80"/>
      <c r="G84" s="67"/>
      <c r="H84" s="67"/>
      <c r="I84" s="67"/>
      <c r="J84" s="67"/>
      <c r="K84" s="67"/>
      <c r="L84" s="67"/>
      <c r="M84" s="67"/>
      <c r="N84" s="67"/>
    </row>
    <row r="85" spans="1:14" s="37" customFormat="1" ht="22.5" customHeight="1">
      <c r="A85" s="18">
        <v>6600</v>
      </c>
      <c r="B85" s="18" t="s">
        <v>53</v>
      </c>
      <c r="C85" s="13">
        <f>SUM(C86:C89)</f>
        <v>24000000</v>
      </c>
      <c r="D85" s="13">
        <f>SUM(D86:D89)</f>
        <v>1416000</v>
      </c>
      <c r="E85" s="59"/>
      <c r="F85" s="59">
        <f>G85/D85</f>
        <v>1.6200564971751412</v>
      </c>
      <c r="G85" s="67">
        <v>2294000</v>
      </c>
      <c r="H85" s="67"/>
      <c r="I85" s="67"/>
      <c r="J85" s="67"/>
      <c r="K85" s="67"/>
      <c r="L85" s="67"/>
      <c r="M85" s="67"/>
      <c r="N85" s="67"/>
    </row>
    <row r="86" spans="1:14" s="37" customFormat="1" ht="22.5" customHeight="1">
      <c r="A86" s="11">
        <v>6601</v>
      </c>
      <c r="B86" s="11" t="s">
        <v>54</v>
      </c>
      <c r="C86" s="27">
        <v>3600000</v>
      </c>
      <c r="D86" s="20">
        <v>66000</v>
      </c>
      <c r="E86" s="60">
        <f>(D86/C86)</f>
        <v>0.018333333333333333</v>
      </c>
      <c r="F86" s="60"/>
      <c r="G86" s="67"/>
      <c r="H86" s="67"/>
      <c r="I86" s="67"/>
      <c r="J86" s="67"/>
      <c r="K86" s="67"/>
      <c r="L86" s="67"/>
      <c r="M86" s="67"/>
      <c r="N86" s="67"/>
    </row>
    <row r="87" spans="1:14" s="37" customFormat="1" ht="22.5" customHeight="1">
      <c r="A87" s="11">
        <v>6605</v>
      </c>
      <c r="B87" s="11" t="s">
        <v>56</v>
      </c>
      <c r="C87" s="27">
        <v>8400000</v>
      </c>
      <c r="D87" s="20"/>
      <c r="E87" s="60">
        <f>(D87/C87)</f>
        <v>0</v>
      </c>
      <c r="F87" s="60"/>
      <c r="G87" s="67"/>
      <c r="H87" s="67"/>
      <c r="I87" s="67"/>
      <c r="J87" s="67"/>
      <c r="K87" s="67"/>
      <c r="L87" s="67"/>
      <c r="M87" s="67"/>
      <c r="N87" s="67"/>
    </row>
    <row r="88" spans="1:14" s="37" customFormat="1" ht="22.5" customHeight="1">
      <c r="A88" s="11">
        <v>6608</v>
      </c>
      <c r="B88" s="11" t="s">
        <v>55</v>
      </c>
      <c r="C88" s="27">
        <v>3000000</v>
      </c>
      <c r="D88" s="20"/>
      <c r="E88" s="60">
        <f>(D88/C88)</f>
        <v>0</v>
      </c>
      <c r="F88" s="60"/>
      <c r="G88" s="67"/>
      <c r="H88" s="67"/>
      <c r="I88" s="67"/>
      <c r="J88" s="67"/>
      <c r="K88" s="67"/>
      <c r="L88" s="67"/>
      <c r="M88" s="67"/>
      <c r="N88" s="67"/>
    </row>
    <row r="89" spans="1:14" s="37" customFormat="1" ht="22.5" customHeight="1">
      <c r="A89" s="11">
        <v>6618</v>
      </c>
      <c r="B89" s="11" t="s">
        <v>91</v>
      </c>
      <c r="C89" s="27">
        <v>9000000</v>
      </c>
      <c r="D89" s="20">
        <v>1350000</v>
      </c>
      <c r="E89" s="60">
        <f>(D89/C89)</f>
        <v>0.15</v>
      </c>
      <c r="F89" s="60"/>
      <c r="G89" s="67"/>
      <c r="H89" s="67"/>
      <c r="I89" s="67"/>
      <c r="J89" s="67"/>
      <c r="K89" s="67"/>
      <c r="L89" s="67"/>
      <c r="M89" s="67"/>
      <c r="N89" s="67"/>
    </row>
    <row r="90" spans="1:14" s="37" customFormat="1" ht="22.5" customHeight="1">
      <c r="A90" s="18">
        <v>6650</v>
      </c>
      <c r="B90" s="18" t="s">
        <v>57</v>
      </c>
      <c r="C90" s="13">
        <f>SUM(C91:C93)</f>
        <v>5840000</v>
      </c>
      <c r="D90" s="13">
        <f>SUM(D91:D93)</f>
        <v>0</v>
      </c>
      <c r="E90" s="59"/>
      <c r="F90" s="59"/>
      <c r="G90" s="67"/>
      <c r="H90" s="67"/>
      <c r="I90" s="67"/>
      <c r="J90" s="67"/>
      <c r="K90" s="67"/>
      <c r="L90" s="67"/>
      <c r="M90" s="67"/>
      <c r="N90" s="67"/>
    </row>
    <row r="91" spans="1:14" s="37" customFormat="1" ht="22.5" customHeight="1">
      <c r="A91" s="11">
        <v>6651</v>
      </c>
      <c r="B91" s="11" t="s">
        <v>116</v>
      </c>
      <c r="C91" s="27">
        <v>1200000</v>
      </c>
      <c r="D91" s="27"/>
      <c r="E91" s="60">
        <f>(D91/C91)</f>
        <v>0</v>
      </c>
      <c r="F91" s="57"/>
      <c r="G91" s="67"/>
      <c r="H91" s="67"/>
      <c r="I91" s="67"/>
      <c r="J91" s="67"/>
      <c r="K91" s="67"/>
      <c r="L91" s="67"/>
      <c r="M91" s="67"/>
      <c r="N91" s="67"/>
    </row>
    <row r="92" spans="1:14" s="37" customFormat="1" ht="22.5" customHeight="1">
      <c r="A92" s="11">
        <v>6657</v>
      </c>
      <c r="B92" s="11" t="s">
        <v>58</v>
      </c>
      <c r="C92" s="27">
        <v>1200000</v>
      </c>
      <c r="D92" s="27"/>
      <c r="E92" s="60">
        <f>(D92/C92)</f>
        <v>0</v>
      </c>
      <c r="F92" s="57"/>
      <c r="G92" s="67"/>
      <c r="H92" s="67"/>
      <c r="I92" s="67"/>
      <c r="J92" s="67"/>
      <c r="K92" s="67"/>
      <c r="L92" s="67"/>
      <c r="M92" s="67"/>
      <c r="N92" s="67"/>
    </row>
    <row r="93" spans="1:14" s="37" customFormat="1" ht="22.5" customHeight="1">
      <c r="A93" s="11">
        <v>6699</v>
      </c>
      <c r="B93" s="11" t="s">
        <v>59</v>
      </c>
      <c r="C93" s="27">
        <v>3440000</v>
      </c>
      <c r="D93" s="27"/>
      <c r="E93" s="60">
        <f>(D93/C93)</f>
        <v>0</v>
      </c>
      <c r="F93" s="57"/>
      <c r="G93" s="67"/>
      <c r="H93" s="67"/>
      <c r="I93" s="67"/>
      <c r="J93" s="67"/>
      <c r="K93" s="67"/>
      <c r="L93" s="67"/>
      <c r="M93" s="67"/>
      <c r="N93" s="67"/>
    </row>
    <row r="94" spans="1:14" s="37" customFormat="1" ht="22.5" customHeight="1">
      <c r="A94" s="18">
        <v>6700</v>
      </c>
      <c r="B94" s="18" t="s">
        <v>60</v>
      </c>
      <c r="C94" s="13">
        <f>SUM(C95:C99)</f>
        <v>116300000</v>
      </c>
      <c r="D94" s="13">
        <f>SUM(D95:D99)</f>
        <v>5325000</v>
      </c>
      <c r="E94" s="59"/>
      <c r="F94" s="59">
        <f>G94/D94</f>
        <v>2.2172769953051645</v>
      </c>
      <c r="G94" s="67">
        <v>11807000</v>
      </c>
      <c r="H94" s="67"/>
      <c r="I94" s="67"/>
      <c r="J94" s="67"/>
      <c r="K94" s="67"/>
      <c r="L94" s="67"/>
      <c r="M94" s="67"/>
      <c r="N94" s="67"/>
    </row>
    <row r="95" spans="1:14" s="37" customFormat="1" ht="22.5" customHeight="1">
      <c r="A95" s="11">
        <v>6701</v>
      </c>
      <c r="B95" s="11" t="s">
        <v>61</v>
      </c>
      <c r="C95" s="27">
        <v>38000000</v>
      </c>
      <c r="D95" s="20">
        <v>255000</v>
      </c>
      <c r="E95" s="60">
        <f>(D95/C95)</f>
        <v>0.006710526315789474</v>
      </c>
      <c r="F95" s="60"/>
      <c r="G95" s="67"/>
      <c r="H95" s="67"/>
      <c r="I95" s="67"/>
      <c r="J95" s="67"/>
      <c r="K95" s="67"/>
      <c r="L95" s="67"/>
      <c r="M95" s="67"/>
      <c r="N95" s="67"/>
    </row>
    <row r="96" spans="1:14" s="37" customFormat="1" ht="22.5" customHeight="1">
      <c r="A96" s="11">
        <v>6702</v>
      </c>
      <c r="B96" s="11" t="s">
        <v>62</v>
      </c>
      <c r="C96" s="27">
        <v>42000000</v>
      </c>
      <c r="D96" s="20">
        <v>570000</v>
      </c>
      <c r="E96" s="60">
        <f>(D96/C96)</f>
        <v>0.013571428571428571</v>
      </c>
      <c r="F96" s="60"/>
      <c r="G96" s="67"/>
      <c r="H96" s="67"/>
      <c r="I96" s="67"/>
      <c r="J96" s="67"/>
      <c r="K96" s="67"/>
      <c r="L96" s="67"/>
      <c r="M96" s="67"/>
      <c r="N96" s="67"/>
    </row>
    <row r="97" spans="1:14" s="37" customFormat="1" ht="22.5" customHeight="1">
      <c r="A97" s="11">
        <v>6703</v>
      </c>
      <c r="B97" s="11" t="s">
        <v>63</v>
      </c>
      <c r="C97" s="27">
        <v>8300000</v>
      </c>
      <c r="D97" s="20"/>
      <c r="E97" s="60">
        <f>(D97/C97)</f>
        <v>0</v>
      </c>
      <c r="F97" s="60"/>
      <c r="G97" s="67"/>
      <c r="H97" s="67"/>
      <c r="I97" s="67"/>
      <c r="J97" s="67"/>
      <c r="K97" s="67"/>
      <c r="L97" s="67"/>
      <c r="M97" s="67"/>
      <c r="N97" s="67"/>
    </row>
    <row r="98" spans="1:14" s="37" customFormat="1" ht="22.5" customHeight="1">
      <c r="A98" s="11">
        <v>6704</v>
      </c>
      <c r="B98" s="11" t="s">
        <v>64</v>
      </c>
      <c r="C98" s="27">
        <v>24000000</v>
      </c>
      <c r="D98" s="20">
        <v>4500000</v>
      </c>
      <c r="E98" s="60">
        <f>(D98/C98)</f>
        <v>0.1875</v>
      </c>
      <c r="F98" s="60"/>
      <c r="G98" s="67"/>
      <c r="H98" s="67"/>
      <c r="I98" s="67"/>
      <c r="J98" s="67"/>
      <c r="K98" s="67"/>
      <c r="L98" s="67"/>
      <c r="M98" s="67"/>
      <c r="N98" s="67"/>
    </row>
    <row r="99" spans="1:14" s="37" customFormat="1" ht="22.5" customHeight="1">
      <c r="A99" s="11">
        <v>6749</v>
      </c>
      <c r="B99" s="11" t="s">
        <v>65</v>
      </c>
      <c r="C99" s="27">
        <v>4000000</v>
      </c>
      <c r="D99" s="20"/>
      <c r="E99" s="60">
        <f>(D99/C99)</f>
        <v>0</v>
      </c>
      <c r="F99" s="60"/>
      <c r="G99" s="67"/>
      <c r="H99" s="67"/>
      <c r="I99" s="67"/>
      <c r="J99" s="67"/>
      <c r="K99" s="67"/>
      <c r="L99" s="67"/>
      <c r="M99" s="67"/>
      <c r="N99" s="67"/>
    </row>
    <row r="100" spans="1:14" s="39" customFormat="1" ht="22.5" customHeight="1">
      <c r="A100" s="21">
        <v>6750</v>
      </c>
      <c r="B100" s="21" t="s">
        <v>86</v>
      </c>
      <c r="C100" s="13">
        <f>SUM(C101:C103)</f>
        <v>86004400</v>
      </c>
      <c r="D100" s="13">
        <f>SUM(D101:D103)</f>
        <v>25920900</v>
      </c>
      <c r="E100" s="63"/>
      <c r="F100" s="59">
        <f>G100/D100</f>
        <v>0.5877535116450432</v>
      </c>
      <c r="G100" s="68">
        <v>15235100</v>
      </c>
      <c r="H100" s="68"/>
      <c r="I100" s="68"/>
      <c r="J100" s="68"/>
      <c r="K100" s="68"/>
      <c r="L100" s="68"/>
      <c r="M100" s="68"/>
      <c r="N100" s="68"/>
    </row>
    <row r="101" spans="1:14" s="39" customFormat="1" ht="22.5" customHeight="1">
      <c r="A101" s="11">
        <v>6751</v>
      </c>
      <c r="B101" s="11" t="s">
        <v>117</v>
      </c>
      <c r="C101" s="27">
        <v>6500000</v>
      </c>
      <c r="D101" s="27"/>
      <c r="E101" s="60">
        <f>(D101/C101)</f>
        <v>0</v>
      </c>
      <c r="F101" s="60"/>
      <c r="G101" s="68"/>
      <c r="H101" s="68"/>
      <c r="I101" s="68"/>
      <c r="J101" s="68"/>
      <c r="K101" s="68"/>
      <c r="L101" s="68"/>
      <c r="M101" s="68"/>
      <c r="N101" s="68"/>
    </row>
    <row r="102" spans="1:14" s="37" customFormat="1" ht="22.5" customHeight="1">
      <c r="A102" s="11">
        <v>6757</v>
      </c>
      <c r="B102" s="11" t="s">
        <v>97</v>
      </c>
      <c r="C102" s="27">
        <v>65504400</v>
      </c>
      <c r="D102" s="20">
        <v>16110900</v>
      </c>
      <c r="E102" s="60">
        <f>(D102/C102)</f>
        <v>0.24595141700404857</v>
      </c>
      <c r="F102" s="60"/>
      <c r="G102" s="67"/>
      <c r="H102" s="67"/>
      <c r="I102" s="67"/>
      <c r="J102" s="67"/>
      <c r="K102" s="67"/>
      <c r="L102" s="67"/>
      <c r="M102" s="67"/>
      <c r="N102" s="67"/>
    </row>
    <row r="103" spans="1:14" s="37" customFormat="1" ht="22.5" customHeight="1">
      <c r="A103" s="11">
        <v>6799</v>
      </c>
      <c r="B103" s="11" t="s">
        <v>98</v>
      </c>
      <c r="C103" s="27">
        <v>14000000</v>
      </c>
      <c r="D103" s="20">
        <v>9810000</v>
      </c>
      <c r="E103" s="60">
        <f>(D103/C103)</f>
        <v>0.7007142857142857</v>
      </c>
      <c r="F103" s="60"/>
      <c r="G103" s="67"/>
      <c r="H103" s="67"/>
      <c r="I103" s="67"/>
      <c r="J103" s="67"/>
      <c r="K103" s="67"/>
      <c r="L103" s="67"/>
      <c r="M103" s="67"/>
      <c r="N103" s="67"/>
    </row>
    <row r="104" spans="1:14" s="37" customFormat="1" ht="22.5" customHeight="1">
      <c r="A104" s="28">
        <v>6900</v>
      </c>
      <c r="B104" s="18" t="s">
        <v>66</v>
      </c>
      <c r="C104" s="13">
        <f>SUM(C105:C110)</f>
        <v>125200000</v>
      </c>
      <c r="D104" s="13">
        <f>SUM(D105:D110)</f>
        <v>14780000</v>
      </c>
      <c r="E104" s="59"/>
      <c r="F104" s="59">
        <f>G104/D104</f>
        <v>1.1427604871447903</v>
      </c>
      <c r="G104" s="67">
        <v>16890000</v>
      </c>
      <c r="H104" s="67"/>
      <c r="I104" s="67"/>
      <c r="J104" s="67"/>
      <c r="K104" s="67"/>
      <c r="L104" s="67"/>
      <c r="M104" s="67"/>
      <c r="N104" s="67"/>
    </row>
    <row r="105" spans="1:14" s="37" customFormat="1" ht="22.5" customHeight="1">
      <c r="A105" s="43">
        <v>6905</v>
      </c>
      <c r="B105" s="11" t="s">
        <v>100</v>
      </c>
      <c r="C105" s="27">
        <v>12200000</v>
      </c>
      <c r="D105" s="27"/>
      <c r="E105" s="60">
        <f aca="true" t="shared" si="0" ref="E105:E110">(D105/C105)</f>
        <v>0</v>
      </c>
      <c r="F105" s="60"/>
      <c r="G105" s="67"/>
      <c r="H105" s="67"/>
      <c r="I105" s="67"/>
      <c r="J105" s="67"/>
      <c r="K105" s="67"/>
      <c r="L105" s="67"/>
      <c r="M105" s="67"/>
      <c r="N105" s="67"/>
    </row>
    <row r="106" spans="1:14" s="37" customFormat="1" ht="22.5" customHeight="1">
      <c r="A106" s="43">
        <v>6907</v>
      </c>
      <c r="B106" s="11" t="s">
        <v>101</v>
      </c>
      <c r="C106" s="27">
        <v>9000000</v>
      </c>
      <c r="D106" s="27">
        <v>1870000</v>
      </c>
      <c r="E106" s="60">
        <f t="shared" si="0"/>
        <v>0.20777777777777778</v>
      </c>
      <c r="F106" s="60"/>
      <c r="G106" s="67"/>
      <c r="H106" s="67"/>
      <c r="I106" s="67"/>
      <c r="J106" s="67"/>
      <c r="K106" s="67"/>
      <c r="L106" s="67"/>
      <c r="M106" s="67"/>
      <c r="N106" s="67"/>
    </row>
    <row r="107" spans="1:14" s="37" customFormat="1" ht="22.5" customHeight="1">
      <c r="A107" s="11">
        <v>6912</v>
      </c>
      <c r="B107" s="11" t="s">
        <v>67</v>
      </c>
      <c r="C107" s="27">
        <v>22000000</v>
      </c>
      <c r="D107" s="20">
        <v>9040000</v>
      </c>
      <c r="E107" s="60">
        <f t="shared" si="0"/>
        <v>0.4109090909090909</v>
      </c>
      <c r="F107" s="60"/>
      <c r="G107" s="67"/>
      <c r="H107" s="67"/>
      <c r="I107" s="67"/>
      <c r="J107" s="67"/>
      <c r="K107" s="67"/>
      <c r="L107" s="67"/>
      <c r="M107" s="67"/>
      <c r="N107" s="67"/>
    </row>
    <row r="108" spans="1:14" s="37" customFormat="1" ht="22.5" customHeight="1">
      <c r="A108" s="11">
        <v>6913</v>
      </c>
      <c r="B108" s="11" t="s">
        <v>68</v>
      </c>
      <c r="C108" s="27">
        <v>14000000</v>
      </c>
      <c r="D108" s="20"/>
      <c r="E108" s="60">
        <f t="shared" si="0"/>
        <v>0</v>
      </c>
      <c r="F108" s="60"/>
      <c r="G108" s="67"/>
      <c r="H108" s="67"/>
      <c r="I108" s="67"/>
      <c r="J108" s="67"/>
      <c r="K108" s="67"/>
      <c r="L108" s="67"/>
      <c r="M108" s="67"/>
      <c r="N108" s="67"/>
    </row>
    <row r="109" spans="1:14" s="37" customFormat="1" ht="22.5" customHeight="1">
      <c r="A109" s="11">
        <v>6921</v>
      </c>
      <c r="B109" s="11" t="s">
        <v>69</v>
      </c>
      <c r="C109" s="27">
        <v>29000000</v>
      </c>
      <c r="D109" s="20">
        <v>2380000</v>
      </c>
      <c r="E109" s="60">
        <f t="shared" si="0"/>
        <v>0.08206896551724138</v>
      </c>
      <c r="F109" s="57"/>
      <c r="G109" s="67"/>
      <c r="H109" s="67"/>
      <c r="I109" s="67"/>
      <c r="J109" s="67"/>
      <c r="K109" s="67"/>
      <c r="L109" s="67"/>
      <c r="M109" s="67"/>
      <c r="N109" s="67"/>
    </row>
    <row r="110" spans="1:14" s="37" customFormat="1" ht="35.25" customHeight="1">
      <c r="A110" s="11">
        <v>6949</v>
      </c>
      <c r="B110" s="29" t="s">
        <v>93</v>
      </c>
      <c r="C110" s="27">
        <v>39000000</v>
      </c>
      <c r="D110" s="20">
        <v>1490000</v>
      </c>
      <c r="E110" s="60">
        <f t="shared" si="0"/>
        <v>0.038205128205128204</v>
      </c>
      <c r="F110" s="60"/>
      <c r="G110" s="67"/>
      <c r="H110" s="67"/>
      <c r="I110" s="67"/>
      <c r="J110" s="67"/>
      <c r="K110" s="67"/>
      <c r="L110" s="67"/>
      <c r="M110" s="67"/>
      <c r="N110" s="67"/>
    </row>
    <row r="111" spans="1:14" s="39" customFormat="1" ht="24" customHeight="1">
      <c r="A111" s="21">
        <v>6950</v>
      </c>
      <c r="B111" s="24" t="s">
        <v>118</v>
      </c>
      <c r="C111" s="49">
        <f>SUM(C112:C115)</f>
        <v>48446000</v>
      </c>
      <c r="D111" s="49">
        <f>SUM(D112:D115)</f>
        <v>0</v>
      </c>
      <c r="E111" s="58"/>
      <c r="F111" s="59"/>
      <c r="G111" s="68"/>
      <c r="H111" s="68"/>
      <c r="I111" s="68"/>
      <c r="J111" s="68"/>
      <c r="K111" s="68"/>
      <c r="L111" s="68"/>
      <c r="M111" s="68"/>
      <c r="N111" s="68"/>
    </row>
    <row r="112" spans="1:14" s="37" customFormat="1" ht="24" customHeight="1">
      <c r="A112" s="11">
        <v>6954</v>
      </c>
      <c r="B112" s="29" t="s">
        <v>119</v>
      </c>
      <c r="C112" s="27">
        <v>11833000</v>
      </c>
      <c r="D112" s="27"/>
      <c r="E112" s="60">
        <f aca="true" t="shared" si="1" ref="E112:E136">(D112/C112)</f>
        <v>0</v>
      </c>
      <c r="F112" s="60"/>
      <c r="G112" s="67"/>
      <c r="H112" s="67"/>
      <c r="I112" s="67"/>
      <c r="J112" s="67"/>
      <c r="K112" s="67"/>
      <c r="L112" s="67"/>
      <c r="M112" s="67"/>
      <c r="N112" s="67"/>
    </row>
    <row r="113" spans="1:14" s="37" customFormat="1" ht="24" customHeight="1">
      <c r="A113" s="11">
        <v>6955</v>
      </c>
      <c r="B113" s="29" t="s">
        <v>120</v>
      </c>
      <c r="C113" s="27">
        <v>9613000</v>
      </c>
      <c r="D113" s="27"/>
      <c r="E113" s="60">
        <f t="shared" si="1"/>
        <v>0</v>
      </c>
      <c r="F113" s="60"/>
      <c r="G113" s="67"/>
      <c r="H113" s="67"/>
      <c r="I113" s="67"/>
      <c r="J113" s="67"/>
      <c r="K113" s="67"/>
      <c r="L113" s="67"/>
      <c r="M113" s="67"/>
      <c r="N113" s="67"/>
    </row>
    <row r="114" spans="1:14" s="37" customFormat="1" ht="24" customHeight="1">
      <c r="A114" s="11">
        <v>6999</v>
      </c>
      <c r="B114" s="29" t="s">
        <v>122</v>
      </c>
      <c r="C114" s="27">
        <v>12000000</v>
      </c>
      <c r="D114" s="27"/>
      <c r="E114" s="60">
        <f t="shared" si="1"/>
        <v>0</v>
      </c>
      <c r="F114" s="60"/>
      <c r="G114" s="67"/>
      <c r="H114" s="67"/>
      <c r="I114" s="67"/>
      <c r="J114" s="67"/>
      <c r="K114" s="67"/>
      <c r="L114" s="67"/>
      <c r="M114" s="67"/>
      <c r="N114" s="67"/>
    </row>
    <row r="115" spans="1:14" s="37" customFormat="1" ht="24" customHeight="1">
      <c r="A115" s="11">
        <v>6999</v>
      </c>
      <c r="B115" s="29" t="s">
        <v>121</v>
      </c>
      <c r="C115" s="27">
        <v>15000000</v>
      </c>
      <c r="D115" s="27"/>
      <c r="E115" s="60">
        <f t="shared" si="1"/>
        <v>0</v>
      </c>
      <c r="F115" s="60"/>
      <c r="G115" s="67"/>
      <c r="H115" s="67"/>
      <c r="I115" s="67"/>
      <c r="J115" s="67"/>
      <c r="K115" s="67"/>
      <c r="L115" s="67"/>
      <c r="M115" s="67"/>
      <c r="N115" s="67"/>
    </row>
    <row r="116" spans="1:14" s="37" customFormat="1" ht="22.5" customHeight="1">
      <c r="A116" s="18">
        <v>7000</v>
      </c>
      <c r="B116" s="18" t="s">
        <v>70</v>
      </c>
      <c r="C116" s="13">
        <f>SUM(C117:C124)</f>
        <v>418679400</v>
      </c>
      <c r="D116" s="13">
        <f>SUM(D117:D123)</f>
        <v>15748000</v>
      </c>
      <c r="E116" s="59"/>
      <c r="F116" s="59">
        <f>G116/D116</f>
        <v>3.233426466852934</v>
      </c>
      <c r="G116" s="67">
        <v>50920000</v>
      </c>
      <c r="H116" s="67"/>
      <c r="I116" s="67"/>
      <c r="J116" s="67"/>
      <c r="K116" s="67"/>
      <c r="L116" s="67"/>
      <c r="M116" s="67"/>
      <c r="N116" s="67"/>
    </row>
    <row r="117" spans="1:14" s="37" customFormat="1" ht="22.5" customHeight="1">
      <c r="A117" s="11">
        <v>7001</v>
      </c>
      <c r="B117" s="11" t="s">
        <v>71</v>
      </c>
      <c r="C117" s="27">
        <f>33156800-9000000</f>
        <v>24156800</v>
      </c>
      <c r="D117" s="20">
        <v>4138000</v>
      </c>
      <c r="E117" s="60">
        <f t="shared" si="1"/>
        <v>0.1712975228507087</v>
      </c>
      <c r="F117" s="57"/>
      <c r="G117" s="67"/>
      <c r="H117" s="67"/>
      <c r="I117" s="67"/>
      <c r="J117" s="67"/>
      <c r="K117" s="67"/>
      <c r="L117" s="67"/>
      <c r="M117" s="67"/>
      <c r="N117" s="67"/>
    </row>
    <row r="118" spans="1:14" s="37" customFormat="1" ht="22.5" customHeight="1">
      <c r="A118" s="11">
        <v>7004</v>
      </c>
      <c r="B118" s="11" t="s">
        <v>72</v>
      </c>
      <c r="C118" s="27">
        <v>1820000</v>
      </c>
      <c r="D118" s="20"/>
      <c r="E118" s="60">
        <f t="shared" si="1"/>
        <v>0</v>
      </c>
      <c r="F118" s="57"/>
      <c r="G118" s="67"/>
      <c r="H118" s="67"/>
      <c r="I118" s="67"/>
      <c r="J118" s="67"/>
      <c r="K118" s="67"/>
      <c r="L118" s="67"/>
      <c r="M118" s="67"/>
      <c r="N118" s="67"/>
    </row>
    <row r="119" spans="1:14" s="37" customFormat="1" ht="36.75" customHeight="1">
      <c r="A119" s="11">
        <v>7012</v>
      </c>
      <c r="B119" s="29" t="s">
        <v>94</v>
      </c>
      <c r="C119" s="27">
        <v>9000000</v>
      </c>
      <c r="D119" s="20">
        <v>6680000</v>
      </c>
      <c r="E119" s="60">
        <f t="shared" si="1"/>
        <v>0.7422222222222222</v>
      </c>
      <c r="F119" s="57"/>
      <c r="G119" s="67"/>
      <c r="H119" s="67"/>
      <c r="I119" s="67"/>
      <c r="J119" s="67"/>
      <c r="K119" s="67"/>
      <c r="L119" s="67"/>
      <c r="M119" s="67"/>
      <c r="N119" s="67"/>
    </row>
    <row r="120" spans="1:14" s="37" customFormat="1" ht="22.5" customHeight="1">
      <c r="A120" s="30">
        <v>7049</v>
      </c>
      <c r="B120" s="11" t="s">
        <v>73</v>
      </c>
      <c r="C120" s="27">
        <v>37400000</v>
      </c>
      <c r="D120" s="20"/>
      <c r="E120" s="60">
        <f t="shared" si="1"/>
        <v>0</v>
      </c>
      <c r="F120" s="57"/>
      <c r="G120" s="67"/>
      <c r="H120" s="67"/>
      <c r="I120" s="67"/>
      <c r="J120" s="67"/>
      <c r="K120" s="67"/>
      <c r="L120" s="67"/>
      <c r="M120" s="67"/>
      <c r="N120" s="67"/>
    </row>
    <row r="121" spans="1:14" s="37" customFormat="1" ht="22.5" customHeight="1">
      <c r="A121" s="30">
        <v>7049</v>
      </c>
      <c r="B121" s="11" t="s">
        <v>74</v>
      </c>
      <c r="C121" s="27">
        <v>67000000</v>
      </c>
      <c r="D121" s="20"/>
      <c r="E121" s="60">
        <f t="shared" si="1"/>
        <v>0</v>
      </c>
      <c r="F121" s="60"/>
      <c r="G121" s="67"/>
      <c r="H121" s="67"/>
      <c r="I121" s="67"/>
      <c r="J121" s="67"/>
      <c r="K121" s="67"/>
      <c r="L121" s="67"/>
      <c r="M121" s="67"/>
      <c r="N121" s="67"/>
    </row>
    <row r="122" spans="1:14" s="37" customFormat="1" ht="22.5" customHeight="1">
      <c r="A122" s="30">
        <v>7049</v>
      </c>
      <c r="B122" s="11" t="s">
        <v>75</v>
      </c>
      <c r="C122" s="27">
        <f>254702600-77400000-63502000</f>
        <v>113800600</v>
      </c>
      <c r="D122" s="20"/>
      <c r="E122" s="60">
        <f t="shared" si="1"/>
        <v>0</v>
      </c>
      <c r="F122" s="80"/>
      <c r="G122" s="67"/>
      <c r="H122" s="67">
        <v>383702600</v>
      </c>
      <c r="I122" s="67"/>
      <c r="J122" s="67"/>
      <c r="K122" s="67"/>
      <c r="L122" s="67"/>
      <c r="M122" s="67"/>
      <c r="N122" s="67"/>
    </row>
    <row r="123" spans="1:14" s="37" customFormat="1" ht="22.5" customHeight="1">
      <c r="A123" s="30">
        <v>7049</v>
      </c>
      <c r="B123" s="11" t="s">
        <v>76</v>
      </c>
      <c r="C123" s="27">
        <v>69202000</v>
      </c>
      <c r="D123" s="20">
        <v>4930000</v>
      </c>
      <c r="E123" s="60">
        <f t="shared" si="1"/>
        <v>0.07124071558625474</v>
      </c>
      <c r="F123" s="80"/>
      <c r="G123" s="67"/>
      <c r="H123" s="67">
        <f>H122-C120-C121-C122-C123-C124</f>
        <v>0</v>
      </c>
      <c r="I123" s="67"/>
      <c r="J123" s="67"/>
      <c r="K123" s="67"/>
      <c r="L123" s="67"/>
      <c r="M123" s="67"/>
      <c r="N123" s="67"/>
    </row>
    <row r="124" spans="1:14" s="37" customFormat="1" ht="22.5" customHeight="1">
      <c r="A124" s="30">
        <v>7049</v>
      </c>
      <c r="B124" s="11" t="s">
        <v>76</v>
      </c>
      <c r="C124" s="27">
        <f>13300000+83000000</f>
        <v>96300000</v>
      </c>
      <c r="D124" s="20"/>
      <c r="E124" s="60">
        <f t="shared" si="1"/>
        <v>0</v>
      </c>
      <c r="F124" s="80"/>
      <c r="G124" s="67"/>
      <c r="H124" s="67"/>
      <c r="I124" s="67"/>
      <c r="J124" s="67"/>
      <c r="K124" s="67"/>
      <c r="L124" s="67"/>
      <c r="M124" s="67"/>
      <c r="N124" s="67"/>
    </row>
    <row r="125" spans="1:14" s="37" customFormat="1" ht="22.5" customHeight="1">
      <c r="A125" s="18">
        <v>7750</v>
      </c>
      <c r="B125" s="18" t="s">
        <v>65</v>
      </c>
      <c r="C125" s="13">
        <f>SUM(C126:C130)</f>
        <v>120438000</v>
      </c>
      <c r="D125" s="13">
        <f>SUM(D126:D130)</f>
        <v>13397966</v>
      </c>
      <c r="E125" s="59"/>
      <c r="F125" s="59">
        <f>G125/D125</f>
        <v>0.9624595255727623</v>
      </c>
      <c r="G125" s="67">
        <v>12895000</v>
      </c>
      <c r="H125" s="67"/>
      <c r="I125" s="67"/>
      <c r="J125" s="67"/>
      <c r="K125" s="67"/>
      <c r="L125" s="67"/>
      <c r="M125" s="67"/>
      <c r="N125" s="67"/>
    </row>
    <row r="126" spans="1:14" s="37" customFormat="1" ht="22.5" customHeight="1">
      <c r="A126" s="11">
        <v>7756</v>
      </c>
      <c r="B126" s="11" t="s">
        <v>92</v>
      </c>
      <c r="C126" s="27">
        <v>5888000</v>
      </c>
      <c r="D126" s="27">
        <v>222200</v>
      </c>
      <c r="E126" s="60">
        <f t="shared" si="1"/>
        <v>0.037737771739130434</v>
      </c>
      <c r="F126" s="60"/>
      <c r="G126" s="67"/>
      <c r="H126" s="67"/>
      <c r="I126" s="67"/>
      <c r="J126" s="67"/>
      <c r="K126" s="67"/>
      <c r="L126" s="67"/>
      <c r="M126" s="67"/>
      <c r="N126" s="67"/>
    </row>
    <row r="127" spans="1:14" s="37" customFormat="1" ht="31.5" customHeight="1">
      <c r="A127" s="11">
        <v>7757</v>
      </c>
      <c r="B127" s="29" t="s">
        <v>139</v>
      </c>
      <c r="C127" s="27">
        <v>15000000</v>
      </c>
      <c r="D127" s="27">
        <v>11156766</v>
      </c>
      <c r="E127" s="60">
        <f t="shared" si="1"/>
        <v>0.7437844</v>
      </c>
      <c r="F127" s="60"/>
      <c r="G127" s="67"/>
      <c r="H127" s="67"/>
      <c r="I127" s="67"/>
      <c r="J127" s="67"/>
      <c r="K127" s="67"/>
      <c r="L127" s="67"/>
      <c r="M127" s="67"/>
      <c r="N127" s="67"/>
    </row>
    <row r="128" spans="1:14" s="37" customFormat="1" ht="22.5" customHeight="1">
      <c r="A128" s="11">
        <v>7761</v>
      </c>
      <c r="B128" s="11" t="s">
        <v>123</v>
      </c>
      <c r="C128" s="27">
        <v>6000000</v>
      </c>
      <c r="D128" s="27"/>
      <c r="E128" s="60">
        <f t="shared" si="1"/>
        <v>0</v>
      </c>
      <c r="F128" s="60"/>
      <c r="G128" s="67"/>
      <c r="H128" s="67"/>
      <c r="I128" s="67"/>
      <c r="J128" s="67"/>
      <c r="K128" s="67"/>
      <c r="L128" s="67"/>
      <c r="M128" s="67"/>
      <c r="N128" s="67"/>
    </row>
    <row r="129" spans="1:14" s="37" customFormat="1" ht="22.5" customHeight="1">
      <c r="A129" s="25">
        <v>7764</v>
      </c>
      <c r="B129" s="11" t="s">
        <v>77</v>
      </c>
      <c r="C129" s="27">
        <v>64050000</v>
      </c>
      <c r="D129" s="27"/>
      <c r="E129" s="60">
        <f t="shared" si="1"/>
        <v>0</v>
      </c>
      <c r="F129" s="57"/>
      <c r="G129" s="67"/>
      <c r="H129" s="67"/>
      <c r="I129" s="67"/>
      <c r="J129" s="67"/>
      <c r="K129" s="67"/>
      <c r="L129" s="67"/>
      <c r="M129" s="67"/>
      <c r="N129" s="67"/>
    </row>
    <row r="130" spans="1:14" s="37" customFormat="1" ht="22.5" customHeight="1">
      <c r="A130" s="25">
        <v>7799</v>
      </c>
      <c r="B130" s="11" t="s">
        <v>76</v>
      </c>
      <c r="C130" s="27">
        <v>29500000</v>
      </c>
      <c r="D130" s="27">
        <v>2019000</v>
      </c>
      <c r="E130" s="60">
        <f t="shared" si="1"/>
        <v>0.06844067796610169</v>
      </c>
      <c r="F130" s="60"/>
      <c r="G130" s="67"/>
      <c r="H130" s="67"/>
      <c r="I130" s="67"/>
      <c r="J130" s="67"/>
      <c r="K130" s="67"/>
      <c r="L130" s="67"/>
      <c r="M130" s="67"/>
      <c r="N130" s="67"/>
    </row>
    <row r="131" spans="1:14" s="37" customFormat="1" ht="35.25" customHeight="1">
      <c r="A131" s="31">
        <v>1.2</v>
      </c>
      <c r="B131" s="32" t="s">
        <v>5</v>
      </c>
      <c r="C131" s="33">
        <f>C132+C135+C137+C139+C141+C144+C150</f>
        <v>1043422000</v>
      </c>
      <c r="D131" s="33">
        <f>D132+D135+D137+D139+D141+D144+D150</f>
        <v>50731520</v>
      </c>
      <c r="E131" s="64"/>
      <c r="F131" s="64"/>
      <c r="G131" s="33">
        <f>G132+G135+G137+G139+G141+G144+G150</f>
        <v>29367430</v>
      </c>
      <c r="H131" s="67">
        <f>G131-C131</f>
        <v>-1014054570</v>
      </c>
      <c r="I131" s="67"/>
      <c r="J131" s="67"/>
      <c r="K131" s="67"/>
      <c r="L131" s="67"/>
      <c r="M131" s="67"/>
      <c r="N131" s="67"/>
    </row>
    <row r="132" spans="1:14" s="37" customFormat="1" ht="22.5" customHeight="1">
      <c r="A132" s="18">
        <v>6100</v>
      </c>
      <c r="B132" s="28" t="s">
        <v>35</v>
      </c>
      <c r="C132" s="33">
        <f>SUM(C133:C134)</f>
        <v>321285280</v>
      </c>
      <c r="D132" s="33">
        <f>SUM(D133:D134)</f>
        <v>0</v>
      </c>
      <c r="E132" s="60">
        <f t="shared" si="1"/>
        <v>0</v>
      </c>
      <c r="F132" s="59"/>
      <c r="G132" s="67"/>
      <c r="H132" s="67"/>
      <c r="I132" s="67"/>
      <c r="J132" s="67"/>
      <c r="K132" s="67"/>
      <c r="L132" s="67"/>
      <c r="M132" s="67"/>
      <c r="N132" s="67"/>
    </row>
    <row r="133" spans="1:14" s="37" customFormat="1" ht="22.5" customHeight="1">
      <c r="A133" s="11">
        <v>6105</v>
      </c>
      <c r="B133" s="11" t="s">
        <v>78</v>
      </c>
      <c r="C133" s="12">
        <v>281285280</v>
      </c>
      <c r="D133" s="12"/>
      <c r="E133" s="60">
        <f t="shared" si="1"/>
        <v>0</v>
      </c>
      <c r="F133" s="64"/>
      <c r="G133" s="67"/>
      <c r="H133" s="67"/>
      <c r="I133" s="67"/>
      <c r="J133" s="67"/>
      <c r="K133" s="67"/>
      <c r="L133" s="67"/>
      <c r="M133" s="67"/>
      <c r="N133" s="67"/>
    </row>
    <row r="134" spans="1:14" s="37" customFormat="1" ht="22.5" customHeight="1">
      <c r="A134" s="11">
        <v>6149</v>
      </c>
      <c r="B134" s="11" t="s">
        <v>99</v>
      </c>
      <c r="C134" s="12">
        <v>40000000</v>
      </c>
      <c r="D134" s="12"/>
      <c r="E134" s="60">
        <f t="shared" si="1"/>
        <v>0</v>
      </c>
      <c r="F134" s="64"/>
      <c r="G134" s="67"/>
      <c r="H134" s="67"/>
      <c r="I134" s="67"/>
      <c r="J134" s="67"/>
      <c r="K134" s="67"/>
      <c r="L134" s="67"/>
      <c r="M134" s="67"/>
      <c r="N134" s="67"/>
    </row>
    <row r="135" spans="1:14" s="37" customFormat="1" ht="22.5" customHeight="1">
      <c r="A135" s="18">
        <v>6400</v>
      </c>
      <c r="B135" s="44" t="s">
        <v>79</v>
      </c>
      <c r="C135" s="13">
        <f>SUM(C136:C136)</f>
        <v>56736720</v>
      </c>
      <c r="D135" s="13">
        <f>SUM(D136:D136)</f>
        <v>17411520</v>
      </c>
      <c r="E135" s="59"/>
      <c r="F135" s="59">
        <f>G135/D135</f>
        <v>1.0761513067210675</v>
      </c>
      <c r="G135" s="67">
        <v>18737430</v>
      </c>
      <c r="H135" s="67"/>
      <c r="I135" s="67"/>
      <c r="J135" s="67"/>
      <c r="K135" s="67"/>
      <c r="L135" s="67"/>
      <c r="M135" s="67"/>
      <c r="N135" s="67"/>
    </row>
    <row r="136" spans="1:14" s="37" customFormat="1" ht="22.5" customHeight="1">
      <c r="A136" s="11">
        <v>6449</v>
      </c>
      <c r="B136" s="11" t="s">
        <v>124</v>
      </c>
      <c r="C136" s="27">
        <v>56736720</v>
      </c>
      <c r="D136" s="12">
        <v>17411520</v>
      </c>
      <c r="E136" s="60">
        <f t="shared" si="1"/>
        <v>0.3068827383747245</v>
      </c>
      <c r="F136" s="80"/>
      <c r="G136" s="67"/>
      <c r="H136" s="67"/>
      <c r="I136" s="67"/>
      <c r="J136" s="67"/>
      <c r="K136" s="67"/>
      <c r="L136" s="67"/>
      <c r="M136" s="67"/>
      <c r="N136" s="67"/>
    </row>
    <row r="137" spans="1:14" s="37" customFormat="1" ht="22.5" customHeight="1">
      <c r="A137" s="45" t="s">
        <v>85</v>
      </c>
      <c r="B137" s="18" t="s">
        <v>86</v>
      </c>
      <c r="C137" s="13">
        <f>SUM(C138)</f>
        <v>30000000</v>
      </c>
      <c r="D137" s="13">
        <f>SUM(D138)</f>
        <v>0</v>
      </c>
      <c r="E137" s="59"/>
      <c r="F137" s="59"/>
      <c r="G137" s="67">
        <v>1680000</v>
      </c>
      <c r="H137" s="67"/>
      <c r="I137" s="67"/>
      <c r="J137" s="67"/>
      <c r="K137" s="67"/>
      <c r="L137" s="67"/>
      <c r="M137" s="67"/>
      <c r="N137" s="67"/>
    </row>
    <row r="138" spans="1:14" s="37" customFormat="1" ht="22.5" customHeight="1">
      <c r="A138" s="11">
        <v>6758</v>
      </c>
      <c r="B138" s="11" t="s">
        <v>80</v>
      </c>
      <c r="C138" s="74">
        <v>30000000</v>
      </c>
      <c r="D138" s="12"/>
      <c r="E138" s="60">
        <f>(D138/C138)</f>
        <v>0</v>
      </c>
      <c r="F138" s="57"/>
      <c r="G138" s="67"/>
      <c r="H138" s="67"/>
      <c r="I138" s="67"/>
      <c r="J138" s="67"/>
      <c r="K138" s="67"/>
      <c r="L138" s="67"/>
      <c r="M138" s="67"/>
      <c r="N138" s="67"/>
    </row>
    <row r="139" spans="1:14" s="52" customFormat="1" ht="22.5" customHeight="1">
      <c r="A139" s="18">
        <v>6900</v>
      </c>
      <c r="B139" s="18" t="s">
        <v>66</v>
      </c>
      <c r="C139" s="50">
        <f>C140</f>
        <v>5000000</v>
      </c>
      <c r="D139" s="51">
        <f>D140</f>
        <v>0</v>
      </c>
      <c r="E139" s="59"/>
      <c r="F139" s="59"/>
      <c r="G139" s="69"/>
      <c r="H139" s="69"/>
      <c r="I139" s="69"/>
      <c r="J139" s="69"/>
      <c r="K139" s="69"/>
      <c r="L139" s="69"/>
      <c r="M139" s="69"/>
      <c r="N139" s="69"/>
    </row>
    <row r="140" spans="1:14" s="37" customFormat="1" ht="22.5" customHeight="1">
      <c r="A140" s="11">
        <v>6905</v>
      </c>
      <c r="B140" s="11" t="s">
        <v>125</v>
      </c>
      <c r="C140" s="27">
        <v>5000000</v>
      </c>
      <c r="D140" s="27"/>
      <c r="E140" s="60">
        <f>(D140/C140)</f>
        <v>0</v>
      </c>
      <c r="F140" s="57"/>
      <c r="G140" s="67"/>
      <c r="H140" s="67"/>
      <c r="I140" s="67"/>
      <c r="J140" s="67"/>
      <c r="K140" s="67"/>
      <c r="L140" s="67"/>
      <c r="M140" s="67"/>
      <c r="N140" s="67"/>
    </row>
    <row r="141" spans="1:14" s="37" customFormat="1" ht="22.5" customHeight="1">
      <c r="A141" s="18">
        <v>7000</v>
      </c>
      <c r="B141" s="18" t="s">
        <v>81</v>
      </c>
      <c r="C141" s="13">
        <f>C142+C143</f>
        <v>11800000</v>
      </c>
      <c r="D141" s="13">
        <f>D142+D143</f>
        <v>0</v>
      </c>
      <c r="E141" s="59"/>
      <c r="F141" s="59"/>
      <c r="G141" s="67"/>
      <c r="H141" s="67"/>
      <c r="I141" s="67"/>
      <c r="J141" s="67"/>
      <c r="K141" s="67"/>
      <c r="L141" s="67"/>
      <c r="M141" s="67"/>
      <c r="N141" s="67"/>
    </row>
    <row r="142" spans="1:14" s="37" customFormat="1" ht="22.5" customHeight="1">
      <c r="A142" s="11">
        <v>7004</v>
      </c>
      <c r="B142" s="11" t="s">
        <v>82</v>
      </c>
      <c r="C142" s="27">
        <v>1800000</v>
      </c>
      <c r="D142" s="27"/>
      <c r="E142" s="60">
        <f>(D142/C142)</f>
        <v>0</v>
      </c>
      <c r="F142" s="57"/>
      <c r="G142" s="67"/>
      <c r="H142" s="67"/>
      <c r="I142" s="67"/>
      <c r="J142" s="67"/>
      <c r="K142" s="67"/>
      <c r="L142" s="67"/>
      <c r="M142" s="67"/>
      <c r="N142" s="67"/>
    </row>
    <row r="143" spans="1:14" s="37" customFormat="1" ht="22.5" customHeight="1">
      <c r="A143" s="11">
        <v>7049</v>
      </c>
      <c r="B143" s="11" t="s">
        <v>76</v>
      </c>
      <c r="C143" s="27">
        <v>10000000</v>
      </c>
      <c r="D143" s="27"/>
      <c r="E143" s="60">
        <f>(D143/C143)</f>
        <v>0</v>
      </c>
      <c r="F143" s="57"/>
      <c r="G143" s="67"/>
      <c r="H143" s="67"/>
      <c r="I143" s="67"/>
      <c r="J143" s="67"/>
      <c r="K143" s="67"/>
      <c r="L143" s="67"/>
      <c r="M143" s="67"/>
      <c r="N143" s="67"/>
    </row>
    <row r="144" spans="1:14" s="37" customFormat="1" ht="22.5" customHeight="1">
      <c r="A144" s="18">
        <v>7750</v>
      </c>
      <c r="B144" s="18" t="s">
        <v>65</v>
      </c>
      <c r="C144" s="13">
        <f>SUM(C145:C149)</f>
        <v>168600000</v>
      </c>
      <c r="D144" s="13">
        <f>SUM(D145:D149)</f>
        <v>33320000</v>
      </c>
      <c r="E144" s="59"/>
      <c r="F144" s="59">
        <f>G144/D144</f>
        <v>0.26860744297719086</v>
      </c>
      <c r="G144" s="67">
        <v>8950000</v>
      </c>
      <c r="H144" s="67"/>
      <c r="I144" s="67"/>
      <c r="J144" s="67"/>
      <c r="K144" s="67"/>
      <c r="L144" s="67"/>
      <c r="M144" s="67"/>
      <c r="N144" s="67"/>
    </row>
    <row r="145" spans="1:14" s="37" customFormat="1" ht="36.75" customHeight="1">
      <c r="A145" s="11">
        <v>7753</v>
      </c>
      <c r="B145" s="29" t="s">
        <v>137</v>
      </c>
      <c r="C145" s="27">
        <v>45000000</v>
      </c>
      <c r="D145" s="13">
        <v>38944000</v>
      </c>
      <c r="E145" s="59"/>
      <c r="F145" s="59">
        <f>G145/D145</f>
        <v>0</v>
      </c>
      <c r="G145" s="67"/>
      <c r="H145" s="67"/>
      <c r="I145" s="67"/>
      <c r="J145" s="67"/>
      <c r="K145" s="67"/>
      <c r="L145" s="67"/>
      <c r="M145" s="67"/>
      <c r="N145" s="67"/>
    </row>
    <row r="146" spans="1:14" s="37" customFormat="1" ht="22.5" customHeight="1">
      <c r="A146" s="11">
        <v>7799</v>
      </c>
      <c r="B146" s="11" t="s">
        <v>126</v>
      </c>
      <c r="C146" s="27">
        <v>100000000</v>
      </c>
      <c r="D146" s="27"/>
      <c r="E146" s="60">
        <f>(D146/C146)</f>
        <v>0</v>
      </c>
      <c r="F146" s="80"/>
      <c r="G146" s="67"/>
      <c r="H146" s="67"/>
      <c r="I146" s="67"/>
      <c r="J146" s="67"/>
      <c r="K146" s="67"/>
      <c r="L146" s="67"/>
      <c r="M146" s="67"/>
      <c r="N146" s="67"/>
    </row>
    <row r="147" spans="1:14" s="37" customFormat="1" ht="22.5" customHeight="1">
      <c r="A147" s="11">
        <v>7799</v>
      </c>
      <c r="B147" s="11" t="s">
        <v>83</v>
      </c>
      <c r="C147" s="27">
        <v>10000000</v>
      </c>
      <c r="D147" s="27"/>
      <c r="E147" s="60">
        <f>(D147/C147)</f>
        <v>0</v>
      </c>
      <c r="F147" s="80"/>
      <c r="G147" s="67"/>
      <c r="H147" s="67"/>
      <c r="I147" s="67"/>
      <c r="J147" s="67"/>
      <c r="K147" s="67"/>
      <c r="L147" s="67"/>
      <c r="M147" s="67"/>
      <c r="N147" s="67"/>
    </row>
    <row r="148" spans="1:14" s="37" customFormat="1" ht="22.5" customHeight="1">
      <c r="A148" s="11">
        <v>7799</v>
      </c>
      <c r="B148" s="11" t="s">
        <v>84</v>
      </c>
      <c r="C148" s="27">
        <v>10000000</v>
      </c>
      <c r="D148" s="27"/>
      <c r="E148" s="60">
        <f>(D148/C148)</f>
        <v>0</v>
      </c>
      <c r="F148" s="80"/>
      <c r="G148" s="67"/>
      <c r="H148" s="67"/>
      <c r="I148" s="67"/>
      <c r="J148" s="67"/>
      <c r="K148" s="67"/>
      <c r="L148" s="67"/>
      <c r="M148" s="67"/>
      <c r="N148" s="67"/>
    </row>
    <row r="149" spans="1:14" s="37" customFormat="1" ht="23.25" customHeight="1">
      <c r="A149" s="11">
        <v>7799</v>
      </c>
      <c r="B149" s="11" t="s">
        <v>131</v>
      </c>
      <c r="C149" s="27">
        <v>3600000</v>
      </c>
      <c r="D149" s="27">
        <v>-5624000</v>
      </c>
      <c r="E149" s="60">
        <f>(D149/C149)</f>
        <v>-1.5622222222222222</v>
      </c>
      <c r="F149" s="80"/>
      <c r="G149" s="67"/>
      <c r="H149" s="67"/>
      <c r="I149" s="67"/>
      <c r="J149" s="67"/>
      <c r="K149" s="67"/>
      <c r="L149" s="67"/>
      <c r="M149" s="67"/>
      <c r="N149" s="67"/>
    </row>
    <row r="150" spans="1:14" s="37" customFormat="1" ht="22.5" customHeight="1">
      <c r="A150" s="46">
        <v>6950</v>
      </c>
      <c r="B150" s="46" t="s">
        <v>127</v>
      </c>
      <c r="C150" s="13">
        <f>SUM(C151:C151)</f>
        <v>450000000</v>
      </c>
      <c r="D150" s="13"/>
      <c r="E150" s="59"/>
      <c r="F150" s="57"/>
      <c r="G150" s="67"/>
      <c r="H150" s="67"/>
      <c r="I150" s="67"/>
      <c r="J150" s="67"/>
      <c r="K150" s="67"/>
      <c r="L150" s="67"/>
      <c r="M150" s="67"/>
      <c r="N150" s="67"/>
    </row>
    <row r="151" spans="1:14" s="37" customFormat="1" ht="22.5" customHeight="1">
      <c r="A151" s="11">
        <v>6954</v>
      </c>
      <c r="B151" s="11" t="s">
        <v>128</v>
      </c>
      <c r="C151" s="27">
        <v>450000000</v>
      </c>
      <c r="D151" s="27"/>
      <c r="E151" s="60">
        <f>(D151/C151)</f>
        <v>0</v>
      </c>
      <c r="F151" s="57"/>
      <c r="G151" s="67"/>
      <c r="H151" s="67"/>
      <c r="I151" s="67"/>
      <c r="J151" s="67"/>
      <c r="K151" s="67"/>
      <c r="L151" s="67"/>
      <c r="M151" s="67"/>
      <c r="N151" s="67"/>
    </row>
    <row r="152" ht="15.75">
      <c r="A152" s="34"/>
    </row>
    <row r="153" spans="1:6" ht="15.75">
      <c r="A153" s="153"/>
      <c r="D153" s="154" t="s">
        <v>150</v>
      </c>
      <c r="E153" s="154"/>
      <c r="F153" s="154"/>
    </row>
    <row r="154" spans="1:6" ht="15.75">
      <c r="A154" s="153"/>
      <c r="D154" s="155" t="s">
        <v>29</v>
      </c>
      <c r="E154" s="155"/>
      <c r="F154" s="155"/>
    </row>
    <row r="155" spans="1:6" ht="15.75">
      <c r="A155" s="40"/>
      <c r="D155" s="156" t="s">
        <v>113</v>
      </c>
      <c r="E155" s="156"/>
      <c r="F155" s="156"/>
    </row>
    <row r="159" spans="4:6" ht="15.75">
      <c r="D159" s="151" t="s">
        <v>132</v>
      </c>
      <c r="E159" s="151"/>
      <c r="F159" s="151"/>
    </row>
  </sheetData>
  <sheetProtection/>
  <mergeCells count="23">
    <mergeCell ref="A1:F1"/>
    <mergeCell ref="A2:B2"/>
    <mergeCell ref="C2:F2"/>
    <mergeCell ref="A3:B3"/>
    <mergeCell ref="C3:F3"/>
    <mergeCell ref="C4:F4"/>
    <mergeCell ref="F11:F12"/>
    <mergeCell ref="A5:F5"/>
    <mergeCell ref="A6:F6"/>
    <mergeCell ref="A7:F7"/>
    <mergeCell ref="A8:F8"/>
    <mergeCell ref="A9:F9"/>
    <mergeCell ref="A10:F10"/>
    <mergeCell ref="D155:F155"/>
    <mergeCell ref="A153:A154"/>
    <mergeCell ref="D153:F153"/>
    <mergeCell ref="D154:F154"/>
    <mergeCell ref="D159:F159"/>
    <mergeCell ref="A11:A12"/>
    <mergeCell ref="B11:B12"/>
    <mergeCell ref="C11:C12"/>
    <mergeCell ref="D11:D12"/>
    <mergeCell ref="E11:E12"/>
  </mergeCells>
  <printOptions/>
  <pageMargins left="0.53" right="0.26" top="0.43" bottom="0.46"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159"/>
  <sheetViews>
    <sheetView zoomScalePageLayoutView="0" workbookViewId="0" topLeftCell="A1">
      <selection activeCell="D159" sqref="D159:F159"/>
    </sheetView>
  </sheetViews>
  <sheetFormatPr defaultColWidth="9.00390625" defaultRowHeight="15.75"/>
  <cols>
    <col min="1" max="1" width="5.125" style="14" customWidth="1"/>
    <col min="2" max="2" width="31.00390625" style="14" customWidth="1"/>
    <col min="3" max="3" width="15.125" style="14" customWidth="1"/>
    <col min="4" max="4" width="15.50390625" style="14" customWidth="1"/>
    <col min="5" max="5" width="11.25390625" style="65" customWidth="1"/>
    <col min="6" max="6" width="9.375" style="82" customWidth="1"/>
    <col min="7" max="7" width="21.375" style="66" customWidth="1"/>
    <col min="8" max="8" width="17.125" style="66" bestFit="1" customWidth="1"/>
    <col min="9" max="9" width="16.75390625" style="66" customWidth="1"/>
    <col min="10" max="14" width="9.00390625" style="66" customWidth="1"/>
    <col min="15" max="16384" width="9.00390625" style="36" customWidth="1"/>
  </cols>
  <sheetData>
    <row r="1" spans="1:6" ht="22.5" customHeight="1">
      <c r="A1" s="168" t="s">
        <v>104</v>
      </c>
      <c r="B1" s="168"/>
      <c r="C1" s="168"/>
      <c r="D1" s="168"/>
      <c r="E1" s="168"/>
      <c r="F1" s="168"/>
    </row>
    <row r="2" spans="1:6" ht="21.75" customHeight="1">
      <c r="A2" s="155" t="s">
        <v>114</v>
      </c>
      <c r="B2" s="155"/>
      <c r="C2" s="155" t="s">
        <v>105</v>
      </c>
      <c r="D2" s="155"/>
      <c r="E2" s="155"/>
      <c r="F2" s="155"/>
    </row>
    <row r="3" spans="1:6" ht="21.75" customHeight="1">
      <c r="A3" s="155" t="s">
        <v>89</v>
      </c>
      <c r="B3" s="155"/>
      <c r="C3" s="166" t="s">
        <v>111</v>
      </c>
      <c r="D3" s="155"/>
      <c r="E3" s="155"/>
      <c r="F3" s="155"/>
    </row>
    <row r="4" spans="1:6" ht="21.75" customHeight="1">
      <c r="A4" s="41"/>
      <c r="B4" s="41"/>
      <c r="C4" s="167" t="s">
        <v>153</v>
      </c>
      <c r="D4" s="167"/>
      <c r="E4" s="167"/>
      <c r="F4" s="167"/>
    </row>
    <row r="5" spans="1:6" ht="38.25" customHeight="1">
      <c r="A5" s="169" t="s">
        <v>142</v>
      </c>
      <c r="B5" s="170"/>
      <c r="C5" s="170"/>
      <c r="D5" s="170"/>
      <c r="E5" s="170"/>
      <c r="F5" s="170"/>
    </row>
    <row r="6" spans="1:6" ht="15.75">
      <c r="A6" s="157" t="s">
        <v>25</v>
      </c>
      <c r="B6" s="157"/>
      <c r="C6" s="157"/>
      <c r="D6" s="157"/>
      <c r="E6" s="157"/>
      <c r="F6" s="157"/>
    </row>
    <row r="7" spans="1:6" ht="39.75" customHeight="1">
      <c r="A7" s="162" t="s">
        <v>108</v>
      </c>
      <c r="B7" s="163"/>
      <c r="C7" s="163"/>
      <c r="D7" s="163"/>
      <c r="E7" s="163"/>
      <c r="F7" s="163"/>
    </row>
    <row r="8" spans="1:6" ht="59.25" customHeight="1">
      <c r="A8" s="164" t="s">
        <v>109</v>
      </c>
      <c r="B8" s="165"/>
      <c r="C8" s="165"/>
      <c r="D8" s="165"/>
      <c r="E8" s="165"/>
      <c r="F8" s="165"/>
    </row>
    <row r="9" spans="1:6" ht="38.25" customHeight="1">
      <c r="A9" s="162" t="s">
        <v>144</v>
      </c>
      <c r="B9" s="162"/>
      <c r="C9" s="162"/>
      <c r="D9" s="162"/>
      <c r="E9" s="162"/>
      <c r="F9" s="162"/>
    </row>
    <row r="10" spans="1:6" ht="15.75">
      <c r="A10" s="158" t="s">
        <v>87</v>
      </c>
      <c r="B10" s="158"/>
      <c r="C10" s="158"/>
      <c r="D10" s="158"/>
      <c r="E10" s="158"/>
      <c r="F10" s="158"/>
    </row>
    <row r="11" spans="1:6" ht="15.75" customHeight="1">
      <c r="A11" s="152" t="s">
        <v>2</v>
      </c>
      <c r="B11" s="152" t="s">
        <v>3</v>
      </c>
      <c r="C11" s="152" t="s">
        <v>26</v>
      </c>
      <c r="D11" s="152" t="s">
        <v>143</v>
      </c>
      <c r="E11" s="159" t="s">
        <v>106</v>
      </c>
      <c r="F11" s="160" t="s">
        <v>107</v>
      </c>
    </row>
    <row r="12" spans="1:6" ht="81.75" customHeight="1">
      <c r="A12" s="152"/>
      <c r="B12" s="152"/>
      <c r="C12" s="152"/>
      <c r="D12" s="152"/>
      <c r="E12" s="159"/>
      <c r="F12" s="161"/>
    </row>
    <row r="13" spans="1:6" ht="22.5" customHeight="1" hidden="1">
      <c r="A13" s="15">
        <v>1</v>
      </c>
      <c r="B13" s="16" t="s">
        <v>9</v>
      </c>
      <c r="C13" s="15"/>
      <c r="D13" s="15"/>
      <c r="E13" s="57"/>
      <c r="F13" s="57"/>
    </row>
    <row r="14" spans="1:6" ht="22.5" customHeight="1" hidden="1">
      <c r="A14" s="15">
        <v>1.1</v>
      </c>
      <c r="B14" s="16" t="s">
        <v>10</v>
      </c>
      <c r="C14" s="15"/>
      <c r="D14" s="15"/>
      <c r="E14" s="57"/>
      <c r="F14" s="57"/>
    </row>
    <row r="15" spans="1:6" ht="22.5" customHeight="1" hidden="1">
      <c r="A15" s="15"/>
      <c r="B15" s="16" t="s">
        <v>11</v>
      </c>
      <c r="C15" s="15"/>
      <c r="D15" s="15"/>
      <c r="E15" s="57"/>
      <c r="F15" s="57"/>
    </row>
    <row r="16" spans="1:6" ht="22.5" customHeight="1" hidden="1">
      <c r="A16" s="15"/>
      <c r="B16" s="16" t="s">
        <v>12</v>
      </c>
      <c r="C16" s="15"/>
      <c r="D16" s="15"/>
      <c r="E16" s="57"/>
      <c r="F16" s="57"/>
    </row>
    <row r="17" spans="1:6" ht="22.5" customHeight="1" hidden="1">
      <c r="A17" s="15"/>
      <c r="B17" s="16" t="s">
        <v>27</v>
      </c>
      <c r="C17" s="15"/>
      <c r="D17" s="15"/>
      <c r="E17" s="57"/>
      <c r="F17" s="57"/>
    </row>
    <row r="18" spans="1:6" ht="22.5" customHeight="1" hidden="1">
      <c r="A18" s="15">
        <v>1.2</v>
      </c>
      <c r="B18" s="16" t="s">
        <v>13</v>
      </c>
      <c r="C18" s="15"/>
      <c r="D18" s="15"/>
      <c r="E18" s="57"/>
      <c r="F18" s="57"/>
    </row>
    <row r="19" spans="1:6" ht="22.5" customHeight="1" hidden="1">
      <c r="A19" s="15"/>
      <c r="B19" s="16" t="s">
        <v>14</v>
      </c>
      <c r="C19" s="15"/>
      <c r="D19" s="15"/>
      <c r="E19" s="57"/>
      <c r="F19" s="57"/>
    </row>
    <row r="20" spans="1:6" ht="22.5" customHeight="1" hidden="1">
      <c r="A20" s="15"/>
      <c r="B20" s="16" t="s">
        <v>15</v>
      </c>
      <c r="C20" s="15"/>
      <c r="D20" s="15"/>
      <c r="E20" s="57"/>
      <c r="F20" s="57"/>
    </row>
    <row r="21" spans="1:6" ht="22.5" customHeight="1" hidden="1">
      <c r="A21" s="15"/>
      <c r="B21" s="16" t="s">
        <v>27</v>
      </c>
      <c r="C21" s="15"/>
      <c r="D21" s="15"/>
      <c r="E21" s="57"/>
      <c r="F21" s="57"/>
    </row>
    <row r="22" spans="1:6" ht="22.5" customHeight="1" hidden="1">
      <c r="A22" s="15">
        <v>2</v>
      </c>
      <c r="B22" s="16" t="s">
        <v>16</v>
      </c>
      <c r="C22" s="15"/>
      <c r="D22" s="15"/>
      <c r="E22" s="57"/>
      <c r="F22" s="57"/>
    </row>
    <row r="23" spans="1:6" ht="22.5" customHeight="1" hidden="1">
      <c r="A23" s="15">
        <v>2.1</v>
      </c>
      <c r="B23" s="16" t="s">
        <v>28</v>
      </c>
      <c r="C23" s="15"/>
      <c r="D23" s="15"/>
      <c r="E23" s="57"/>
      <c r="F23" s="57"/>
    </row>
    <row r="24" spans="1:6" ht="22.5" customHeight="1" hidden="1">
      <c r="A24" s="15" t="s">
        <v>17</v>
      </c>
      <c r="B24" s="16" t="s">
        <v>18</v>
      </c>
      <c r="C24" s="15"/>
      <c r="D24" s="15"/>
      <c r="E24" s="57"/>
      <c r="F24" s="57"/>
    </row>
    <row r="25" spans="1:6" ht="22.5" customHeight="1" hidden="1">
      <c r="A25" s="15" t="s">
        <v>19</v>
      </c>
      <c r="B25" s="16" t="s">
        <v>6</v>
      </c>
      <c r="C25" s="15"/>
      <c r="D25" s="15"/>
      <c r="E25" s="57"/>
      <c r="F25" s="57"/>
    </row>
    <row r="26" spans="1:6" ht="22.5" customHeight="1" hidden="1">
      <c r="A26" s="15">
        <v>2.2</v>
      </c>
      <c r="B26" s="16" t="s">
        <v>4</v>
      </c>
      <c r="C26" s="15"/>
      <c r="D26" s="15"/>
      <c r="E26" s="57"/>
      <c r="F26" s="57"/>
    </row>
    <row r="27" spans="1:6" ht="22.5" customHeight="1" hidden="1">
      <c r="A27" s="15" t="s">
        <v>17</v>
      </c>
      <c r="B27" s="16" t="s">
        <v>20</v>
      </c>
      <c r="C27" s="15"/>
      <c r="D27" s="15"/>
      <c r="E27" s="57"/>
      <c r="F27" s="57"/>
    </row>
    <row r="28" spans="1:6" ht="22.5" customHeight="1" hidden="1">
      <c r="A28" s="15" t="s">
        <v>19</v>
      </c>
      <c r="B28" s="16" t="s">
        <v>5</v>
      </c>
      <c r="C28" s="15"/>
      <c r="D28" s="15"/>
      <c r="E28" s="57"/>
      <c r="F28" s="57"/>
    </row>
    <row r="29" spans="1:6" ht="22.5" customHeight="1" hidden="1">
      <c r="A29" s="15">
        <v>3</v>
      </c>
      <c r="B29" s="16" t="s">
        <v>21</v>
      </c>
      <c r="C29" s="15"/>
      <c r="D29" s="15"/>
      <c r="E29" s="57"/>
      <c r="F29" s="57"/>
    </row>
    <row r="30" spans="1:6" ht="22.5" customHeight="1" hidden="1">
      <c r="A30" s="15">
        <v>3.1</v>
      </c>
      <c r="B30" s="16" t="s">
        <v>10</v>
      </c>
      <c r="C30" s="15"/>
      <c r="D30" s="15"/>
      <c r="E30" s="57"/>
      <c r="F30" s="57"/>
    </row>
    <row r="31" spans="1:6" ht="22.5" customHeight="1" hidden="1">
      <c r="A31" s="15"/>
      <c r="B31" s="16" t="s">
        <v>11</v>
      </c>
      <c r="C31" s="15"/>
      <c r="D31" s="15"/>
      <c r="E31" s="57"/>
      <c r="F31" s="57"/>
    </row>
    <row r="32" spans="1:6" ht="22.5" customHeight="1" hidden="1">
      <c r="A32" s="15"/>
      <c r="B32" s="16" t="s">
        <v>12</v>
      </c>
      <c r="C32" s="15"/>
      <c r="D32" s="15"/>
      <c r="E32" s="57"/>
      <c r="F32" s="57"/>
    </row>
    <row r="33" spans="1:6" ht="22.5" customHeight="1" hidden="1">
      <c r="A33" s="15"/>
      <c r="B33" s="16" t="s">
        <v>27</v>
      </c>
      <c r="C33" s="15"/>
      <c r="D33" s="15"/>
      <c r="E33" s="57"/>
      <c r="F33" s="57"/>
    </row>
    <row r="34" spans="1:6" ht="22.5" customHeight="1" hidden="1">
      <c r="A34" s="15">
        <v>3.2</v>
      </c>
      <c r="B34" s="16" t="s">
        <v>13</v>
      </c>
      <c r="C34" s="15"/>
      <c r="D34" s="15"/>
      <c r="E34" s="57"/>
      <c r="F34" s="57"/>
    </row>
    <row r="35" spans="1:6" ht="22.5" customHeight="1" hidden="1">
      <c r="A35" s="15"/>
      <c r="B35" s="16" t="s">
        <v>14</v>
      </c>
      <c r="C35" s="15"/>
      <c r="D35" s="15"/>
      <c r="E35" s="57"/>
      <c r="F35" s="57"/>
    </row>
    <row r="36" spans="1:6" ht="22.5" customHeight="1" hidden="1">
      <c r="A36" s="15"/>
      <c r="B36" s="16" t="s">
        <v>15</v>
      </c>
      <c r="C36" s="15"/>
      <c r="D36" s="15"/>
      <c r="E36" s="57"/>
      <c r="F36" s="57"/>
    </row>
    <row r="37" spans="1:6" ht="22.5" customHeight="1" hidden="1">
      <c r="A37" s="15"/>
      <c r="B37" s="16" t="s">
        <v>27</v>
      </c>
      <c r="C37" s="15"/>
      <c r="D37" s="15"/>
      <c r="E37" s="57"/>
      <c r="F37" s="57"/>
    </row>
    <row r="38" spans="1:14" s="37" customFormat="1" ht="22.5" customHeight="1">
      <c r="A38" s="15" t="s">
        <v>1</v>
      </c>
      <c r="B38" s="16" t="s">
        <v>22</v>
      </c>
      <c r="C38" s="17">
        <f>C39</f>
        <v>8070915000</v>
      </c>
      <c r="D38" s="17">
        <f>D39</f>
        <v>3461855826</v>
      </c>
      <c r="E38" s="60">
        <f>D38/C38</f>
        <v>0.4289297837977478</v>
      </c>
      <c r="F38" s="59">
        <f>G38/D38</f>
        <v>1.0660427072909535</v>
      </c>
      <c r="G38" s="67">
        <f>G39</f>
        <v>3690486157</v>
      </c>
      <c r="H38" s="67"/>
      <c r="I38" s="67"/>
      <c r="J38" s="67"/>
      <c r="K38" s="67"/>
      <c r="L38" s="67"/>
      <c r="M38" s="67"/>
      <c r="N38" s="67"/>
    </row>
    <row r="39" spans="1:14" s="37" customFormat="1" ht="36" customHeight="1">
      <c r="A39" s="15">
        <v>1</v>
      </c>
      <c r="B39" s="16" t="s">
        <v>7</v>
      </c>
      <c r="C39" s="17">
        <f>C40+C61+C131</f>
        <v>8070915000</v>
      </c>
      <c r="D39" s="17">
        <f>D40+D61+D131</f>
        <v>3461855826</v>
      </c>
      <c r="E39" s="60">
        <f>D39/C39</f>
        <v>0.4289297837977478</v>
      </c>
      <c r="F39" s="59">
        <f>G39/D39</f>
        <v>1.0660427072909535</v>
      </c>
      <c r="G39" s="17">
        <f>G40+G61+G131</f>
        <v>3690486157</v>
      </c>
      <c r="H39" s="67">
        <f>G39-C39</f>
        <v>-4380428843</v>
      </c>
      <c r="I39" s="67"/>
      <c r="J39" s="67"/>
      <c r="K39" s="67"/>
      <c r="L39" s="67"/>
      <c r="M39" s="67"/>
      <c r="N39" s="67"/>
    </row>
    <row r="40" spans="1:14" s="39" customFormat="1" ht="22.5" customHeight="1">
      <c r="A40" s="47">
        <v>1.1</v>
      </c>
      <c r="B40" s="48" t="s">
        <v>20</v>
      </c>
      <c r="C40" s="17">
        <f>C41+C44+C46+C51+C54+C59+C77+C81+C85+C90+C94+C100+C104+C111+C116+C125</f>
        <v>5930274000</v>
      </c>
      <c r="D40" s="17">
        <f>D41+D44+D46+D51+D54+D59+D77+D81+D85+D90+D94+D100+D104+D111+D116+D125</f>
        <v>2700650587</v>
      </c>
      <c r="E40" s="60">
        <f>D40/C40</f>
        <v>0.4554006420276702</v>
      </c>
      <c r="F40" s="59">
        <f>G40/D40</f>
        <v>1.265956929584834</v>
      </c>
      <c r="G40" s="17">
        <f>G41+G44+G46+G51+G54+G59+G77+G81+G85+G90+G94+G100+G104+G111+G116+G125</f>
        <v>3418907325</v>
      </c>
      <c r="H40" s="68">
        <f>G40-D40</f>
        <v>718256738</v>
      </c>
      <c r="I40" s="68"/>
      <c r="J40" s="68"/>
      <c r="K40" s="68"/>
      <c r="L40" s="68"/>
      <c r="M40" s="68"/>
      <c r="N40" s="68"/>
    </row>
    <row r="41" spans="1:14" s="37" customFormat="1" ht="22.5" customHeight="1">
      <c r="A41" s="18">
        <v>6000</v>
      </c>
      <c r="B41" s="18" t="s">
        <v>35</v>
      </c>
      <c r="C41" s="19">
        <f>SUM(C42:C43)</f>
        <v>2235499200</v>
      </c>
      <c r="D41" s="83">
        <f>SUM(D42:D43)</f>
        <v>1275646600</v>
      </c>
      <c r="E41" s="59"/>
      <c r="F41" s="59">
        <f>G41/D41</f>
        <v>1.193442917497683</v>
      </c>
      <c r="G41" s="67">
        <f>'CK- TH Q2'!G41+'CK -TH Q1'!G41</f>
        <v>1522411400</v>
      </c>
      <c r="H41" s="67"/>
      <c r="I41" s="67"/>
      <c r="J41" s="67"/>
      <c r="K41" s="67"/>
      <c r="L41" s="67"/>
      <c r="M41" s="67"/>
      <c r="N41" s="67"/>
    </row>
    <row r="42" spans="1:14" s="37" customFormat="1" ht="22.5" customHeight="1">
      <c r="A42" s="11">
        <v>6001</v>
      </c>
      <c r="B42" s="11" t="s">
        <v>30</v>
      </c>
      <c r="C42" s="20">
        <f>2235499200-178765200</f>
        <v>2056734000</v>
      </c>
      <c r="D42" s="23">
        <f>'CK- TH Q2'!D42+'CK -TH Q1'!D42</f>
        <v>1096881400</v>
      </c>
      <c r="E42" s="60">
        <f>D42/C42</f>
        <v>0.5333122319172047</v>
      </c>
      <c r="F42" s="60"/>
      <c r="G42" s="67"/>
      <c r="H42" s="67"/>
      <c r="I42" s="67"/>
      <c r="J42" s="67"/>
      <c r="K42" s="67"/>
      <c r="L42" s="67"/>
      <c r="M42" s="67"/>
      <c r="N42" s="67"/>
    </row>
    <row r="43" spans="1:14" s="37" customFormat="1" ht="22.5" customHeight="1">
      <c r="A43" s="11">
        <v>6003</v>
      </c>
      <c r="B43" s="11" t="s">
        <v>31</v>
      </c>
      <c r="C43" s="20">
        <v>178765200</v>
      </c>
      <c r="D43" s="23">
        <f>'CK- TH Q2'!D43+'CK -TH Q1'!D43</f>
        <v>178765200</v>
      </c>
      <c r="E43" s="60">
        <f>D43/C43</f>
        <v>1</v>
      </c>
      <c r="F43" s="60"/>
      <c r="G43" s="67"/>
      <c r="H43" s="67"/>
      <c r="I43" s="67"/>
      <c r="J43" s="67"/>
      <c r="K43" s="67"/>
      <c r="L43" s="67"/>
      <c r="M43" s="67"/>
      <c r="N43" s="67"/>
    </row>
    <row r="44" spans="1:14" s="39" customFormat="1" ht="33.75" customHeight="1">
      <c r="A44" s="21">
        <v>6050</v>
      </c>
      <c r="B44" s="24" t="s">
        <v>138</v>
      </c>
      <c r="C44" s="75">
        <f>C45</f>
        <v>365052000</v>
      </c>
      <c r="D44" s="76">
        <f>D45</f>
        <v>223101021</v>
      </c>
      <c r="E44" s="58"/>
      <c r="F44" s="59">
        <f>G44/D44</f>
        <v>0</v>
      </c>
      <c r="G44" s="67">
        <f>'CK- TH Q2'!G44+'CK -TH Q1'!G44</f>
        <v>0</v>
      </c>
      <c r="H44" s="68">
        <f>C44+C41</f>
        <v>2600551200</v>
      </c>
      <c r="I44" s="68"/>
      <c r="J44" s="68"/>
      <c r="K44" s="68"/>
      <c r="L44" s="68"/>
      <c r="M44" s="68"/>
      <c r="N44" s="68"/>
    </row>
    <row r="45" spans="1:14" s="37" customFormat="1" ht="35.25" customHeight="1">
      <c r="A45" s="11">
        <v>6051</v>
      </c>
      <c r="B45" s="29" t="s">
        <v>138</v>
      </c>
      <c r="C45" s="20">
        <v>365052000</v>
      </c>
      <c r="D45" s="23">
        <f>'CK- TH Q2'!D45+'CK -TH Q1'!D45</f>
        <v>223101021</v>
      </c>
      <c r="E45" s="60">
        <f>D45/C45</f>
        <v>0.6111486062259623</v>
      </c>
      <c r="F45" s="60"/>
      <c r="G45" s="67"/>
      <c r="H45" s="67"/>
      <c r="I45" s="67"/>
      <c r="J45" s="67"/>
      <c r="K45" s="67"/>
      <c r="L45" s="67"/>
      <c r="M45" s="67"/>
      <c r="N45" s="67"/>
    </row>
    <row r="46" spans="1:14" s="37" customFormat="1" ht="22.5" customHeight="1">
      <c r="A46" s="18">
        <v>6100</v>
      </c>
      <c r="B46" s="18" t="s">
        <v>36</v>
      </c>
      <c r="C46" s="19">
        <f>SUM(C47:C50)+1</f>
        <v>1308230786</v>
      </c>
      <c r="D46" s="19">
        <f>SUM(D47:D50)</f>
        <v>689579850</v>
      </c>
      <c r="E46" s="61"/>
      <c r="F46" s="59">
        <f>G46/D46</f>
        <v>1.5007891674909004</v>
      </c>
      <c r="G46" s="67">
        <f>'CK- TH Q2'!G46+'CK -TH Q1'!G46</f>
        <v>1034913969</v>
      </c>
      <c r="H46" s="67"/>
      <c r="I46" s="67"/>
      <c r="J46" s="67"/>
      <c r="K46" s="67"/>
      <c r="L46" s="67"/>
      <c r="M46" s="67"/>
      <c r="N46" s="67"/>
    </row>
    <row r="47" spans="1:14" s="37" customFormat="1" ht="22.5" customHeight="1">
      <c r="A47" s="11">
        <v>6101</v>
      </c>
      <c r="B47" s="11" t="s">
        <v>32</v>
      </c>
      <c r="C47" s="20">
        <v>47190000</v>
      </c>
      <c r="D47" s="23">
        <f>'CK- TH Q2'!D47+'CK -TH Q1'!D47</f>
        <v>21224000</v>
      </c>
      <c r="E47" s="60">
        <f>D47/C47</f>
        <v>0.44975630430175884</v>
      </c>
      <c r="F47" s="60"/>
      <c r="G47" s="67"/>
      <c r="H47" s="67"/>
      <c r="I47" s="67"/>
      <c r="J47" s="67"/>
      <c r="K47" s="67"/>
      <c r="L47" s="67"/>
      <c r="M47" s="67"/>
      <c r="N47" s="67"/>
    </row>
    <row r="48" spans="1:14" s="37" customFormat="1" ht="22.5" customHeight="1">
      <c r="A48" s="11">
        <v>6112</v>
      </c>
      <c r="B48" s="11" t="s">
        <v>33</v>
      </c>
      <c r="C48" s="20">
        <v>814246243</v>
      </c>
      <c r="D48" s="23">
        <f>'CK- TH Q2'!D48+'CK -TH Q1'!D48</f>
        <v>427262120</v>
      </c>
      <c r="E48" s="60">
        <f>D48/C48</f>
        <v>0.5247333023310001</v>
      </c>
      <c r="F48" s="60"/>
      <c r="G48" s="67"/>
      <c r="H48" s="67"/>
      <c r="I48" s="67"/>
      <c r="J48" s="67"/>
      <c r="K48" s="67"/>
      <c r="L48" s="67"/>
      <c r="M48" s="67"/>
      <c r="N48" s="67"/>
    </row>
    <row r="49" spans="1:14" s="37" customFormat="1" ht="22.5" customHeight="1">
      <c r="A49" s="11">
        <v>6113</v>
      </c>
      <c r="B49" s="11" t="s">
        <v>34</v>
      </c>
      <c r="C49" s="20">
        <v>7260000</v>
      </c>
      <c r="D49" s="23">
        <f>'CK- TH Q2'!D49+'CK -TH Q1'!D49</f>
        <v>3770000</v>
      </c>
      <c r="E49" s="60">
        <f>D49/C49</f>
        <v>0.5192837465564738</v>
      </c>
      <c r="F49" s="60"/>
      <c r="G49" s="67"/>
      <c r="H49" s="67"/>
      <c r="I49" s="67"/>
      <c r="J49" s="67"/>
      <c r="K49" s="67"/>
      <c r="L49" s="67"/>
      <c r="M49" s="67"/>
      <c r="N49" s="67"/>
    </row>
    <row r="50" spans="1:14" s="37" customFormat="1" ht="22.5" customHeight="1">
      <c r="A50" s="11">
        <v>6115</v>
      </c>
      <c r="B50" s="11" t="s">
        <v>95</v>
      </c>
      <c r="C50" s="20">
        <v>439534542</v>
      </c>
      <c r="D50" s="23">
        <f>'CK- TH Q2'!D50+'CK -TH Q1'!D50</f>
        <v>237323730</v>
      </c>
      <c r="E50" s="60">
        <f>D50/C50</f>
        <v>0.5399432975622653</v>
      </c>
      <c r="F50" s="60"/>
      <c r="G50" s="67"/>
      <c r="H50" s="67"/>
      <c r="I50" s="67"/>
      <c r="J50" s="67"/>
      <c r="K50" s="67"/>
      <c r="L50" s="67"/>
      <c r="M50" s="67"/>
      <c r="N50" s="67"/>
    </row>
    <row r="51" spans="1:14" s="37" customFormat="1" ht="22.5" customHeight="1">
      <c r="A51" s="18">
        <v>6250</v>
      </c>
      <c r="B51" s="18" t="s">
        <v>37</v>
      </c>
      <c r="C51" s="19">
        <f>SUM(C52:C53)</f>
        <v>7350000</v>
      </c>
      <c r="D51" s="19">
        <f>SUM(D52:D53)</f>
        <v>750000</v>
      </c>
      <c r="E51" s="61"/>
      <c r="F51" s="59">
        <f>G51/D51</f>
        <v>5.936</v>
      </c>
      <c r="G51" s="67">
        <f>'CK- TH Q2'!G51+'CK -TH Q1'!G51</f>
        <v>4452000</v>
      </c>
      <c r="H51" s="67"/>
      <c r="I51" s="67"/>
      <c r="J51" s="67"/>
      <c r="K51" s="67"/>
      <c r="L51" s="67"/>
      <c r="M51" s="67"/>
      <c r="N51" s="67"/>
    </row>
    <row r="52" spans="1:14" s="37" customFormat="1" ht="22.5" customHeight="1">
      <c r="A52" s="11">
        <v>6253</v>
      </c>
      <c r="B52" s="11" t="s">
        <v>38</v>
      </c>
      <c r="C52" s="20">
        <v>3318000</v>
      </c>
      <c r="D52" s="23">
        <f>'CK- TH Q2'!D52+'CK -TH Q1'!D52</f>
        <v>0</v>
      </c>
      <c r="E52" s="60">
        <f>(D52/C52)</f>
        <v>0</v>
      </c>
      <c r="F52" s="57"/>
      <c r="G52" s="67"/>
      <c r="H52" s="67"/>
      <c r="I52" s="67"/>
      <c r="J52" s="67"/>
      <c r="K52" s="67"/>
      <c r="L52" s="67"/>
      <c r="M52" s="67"/>
      <c r="N52" s="67"/>
    </row>
    <row r="53" spans="1:14" s="37" customFormat="1" ht="22.5" customHeight="1">
      <c r="A53" s="11">
        <v>6257</v>
      </c>
      <c r="B53" s="11" t="s">
        <v>39</v>
      </c>
      <c r="C53" s="20">
        <v>4032000</v>
      </c>
      <c r="D53" s="23">
        <f>'CK- TH Q2'!D53+'CK -TH Q1'!D53</f>
        <v>750000</v>
      </c>
      <c r="E53" s="60">
        <f>(D53/C53)</f>
        <v>0.18601190476190477</v>
      </c>
      <c r="F53" s="57"/>
      <c r="G53" s="67"/>
      <c r="H53" s="67"/>
      <c r="I53" s="67"/>
      <c r="J53" s="67"/>
      <c r="K53" s="67"/>
      <c r="L53" s="67"/>
      <c r="M53" s="67"/>
      <c r="N53" s="67"/>
    </row>
    <row r="54" spans="1:14" s="37" customFormat="1" ht="22.5" customHeight="1">
      <c r="A54" s="18">
        <v>6300</v>
      </c>
      <c r="B54" s="18" t="s">
        <v>40</v>
      </c>
      <c r="C54" s="19">
        <f>SUM(C55:C58)</f>
        <v>725509494</v>
      </c>
      <c r="D54" s="19">
        <f>SUM(D55:D58)</f>
        <v>317574441</v>
      </c>
      <c r="E54" s="59"/>
      <c r="F54" s="59">
        <f>G54/D54</f>
        <v>1.331426341076359</v>
      </c>
      <c r="G54" s="67">
        <f>'CK- TH Q2'!G54+'CK -TH Q1'!G54</f>
        <v>422826976</v>
      </c>
      <c r="H54" s="67"/>
      <c r="I54" s="67"/>
      <c r="J54" s="67"/>
      <c r="K54" s="67"/>
      <c r="L54" s="67"/>
      <c r="M54" s="67"/>
      <c r="N54" s="67"/>
    </row>
    <row r="55" spans="1:14" s="37" customFormat="1" ht="22.5" customHeight="1">
      <c r="A55" s="11">
        <v>6301</v>
      </c>
      <c r="B55" s="11" t="s">
        <v>41</v>
      </c>
      <c r="C55" s="20">
        <v>540272950</v>
      </c>
      <c r="D55" s="23">
        <f>'CK- TH Q2'!D55+'CK -TH Q1'!D55</f>
        <v>225950453</v>
      </c>
      <c r="E55" s="60">
        <f>(D55/C55)</f>
        <v>0.4182153724335079</v>
      </c>
      <c r="F55" s="60"/>
      <c r="G55" s="67"/>
      <c r="H55" s="67"/>
      <c r="I55" s="67"/>
      <c r="J55" s="67"/>
      <c r="K55" s="67"/>
      <c r="L55" s="67"/>
      <c r="M55" s="67"/>
      <c r="N55" s="67"/>
    </row>
    <row r="56" spans="1:14" s="37" customFormat="1" ht="22.5" customHeight="1">
      <c r="A56" s="11">
        <v>6302</v>
      </c>
      <c r="B56" s="11" t="s">
        <v>42</v>
      </c>
      <c r="C56" s="20">
        <v>92618272</v>
      </c>
      <c r="D56" s="23">
        <f>'CK- TH Q2'!D56+'CK -TH Q1'!D56</f>
        <v>46025831</v>
      </c>
      <c r="E56" s="60">
        <f>(D56/C56)</f>
        <v>0.4969411543329161</v>
      </c>
      <c r="F56" s="60"/>
      <c r="G56" s="67"/>
      <c r="H56" s="67"/>
      <c r="I56" s="67"/>
      <c r="J56" s="67"/>
      <c r="K56" s="67"/>
      <c r="L56" s="67"/>
      <c r="M56" s="67"/>
      <c r="N56" s="67"/>
    </row>
    <row r="57" spans="1:14" s="37" customFormat="1" ht="22.5" customHeight="1">
      <c r="A57" s="11">
        <v>6303</v>
      </c>
      <c r="B57" s="11" t="s">
        <v>43</v>
      </c>
      <c r="C57" s="20">
        <v>61745515</v>
      </c>
      <c r="D57" s="23">
        <f>'CK- TH Q2'!D57+'CK -TH Q1'!D57</f>
        <v>30683885</v>
      </c>
      <c r="E57" s="60">
        <f>(D57/C57)</f>
        <v>0.49694111386065853</v>
      </c>
      <c r="F57" s="60"/>
      <c r="G57" s="67"/>
      <c r="H57" s="67"/>
      <c r="I57" s="67"/>
      <c r="J57" s="67"/>
      <c r="K57" s="67"/>
      <c r="L57" s="67"/>
      <c r="M57" s="67"/>
      <c r="N57" s="67"/>
    </row>
    <row r="58" spans="1:14" s="37" customFormat="1" ht="22.5" customHeight="1">
      <c r="A58" s="11">
        <v>6304</v>
      </c>
      <c r="B58" s="11" t="s">
        <v>44</v>
      </c>
      <c r="C58" s="20">
        <v>30872757</v>
      </c>
      <c r="D58" s="23">
        <f>'CK- TH Q2'!D58+'CK -TH Q1'!D58</f>
        <v>14914272</v>
      </c>
      <c r="E58" s="60">
        <f>(D58/C58)</f>
        <v>0.48308843942897617</v>
      </c>
      <c r="F58" s="60"/>
      <c r="G58" s="67"/>
      <c r="H58" s="67"/>
      <c r="I58" s="67"/>
      <c r="J58" s="67"/>
      <c r="K58" s="67"/>
      <c r="L58" s="67"/>
      <c r="M58" s="67"/>
      <c r="N58" s="67"/>
    </row>
    <row r="59" spans="1:14" s="37" customFormat="1" ht="22.5" customHeight="1">
      <c r="A59" s="77">
        <v>6400</v>
      </c>
      <c r="B59" s="78" t="s">
        <v>79</v>
      </c>
      <c r="C59" s="22">
        <f>C60</f>
        <v>107262520</v>
      </c>
      <c r="D59" s="22">
        <f>D60</f>
        <v>3000000</v>
      </c>
      <c r="E59" s="62"/>
      <c r="F59" s="59">
        <f>G59/D59</f>
        <v>1.5</v>
      </c>
      <c r="G59" s="67">
        <f>'CK- TH Q2'!G59+'CK -TH Q1'!G59</f>
        <v>4500000</v>
      </c>
      <c r="H59" s="67"/>
      <c r="I59" s="67"/>
      <c r="J59" s="67"/>
      <c r="K59" s="67"/>
      <c r="L59" s="67"/>
      <c r="M59" s="67"/>
      <c r="N59" s="67"/>
    </row>
    <row r="60" spans="1:14" s="37" customFormat="1" ht="22.5" customHeight="1">
      <c r="A60" s="79">
        <v>6404</v>
      </c>
      <c r="B60" s="70" t="s">
        <v>134</v>
      </c>
      <c r="C60" s="20">
        <v>107262520</v>
      </c>
      <c r="D60" s="23">
        <f>'CK- TH Q2'!D60+'CK -TH Q1'!D60</f>
        <v>3000000</v>
      </c>
      <c r="E60" s="20"/>
      <c r="F60" s="60"/>
      <c r="G60" s="67"/>
      <c r="H60" s="67"/>
      <c r="I60" s="67"/>
      <c r="J60" s="67"/>
      <c r="K60" s="67"/>
      <c r="L60" s="67"/>
      <c r="M60" s="67"/>
      <c r="N60" s="67"/>
    </row>
    <row r="61" spans="1:14" s="37" customFormat="1" ht="22.5" customHeight="1">
      <c r="A61" s="47">
        <v>1.2</v>
      </c>
      <c r="B61" s="48" t="s">
        <v>115</v>
      </c>
      <c r="C61" s="75">
        <f>C62+C65+C70+C75</f>
        <v>1097219000</v>
      </c>
      <c r="D61" s="75">
        <f>D62+D65+D70+D75</f>
        <v>474521175</v>
      </c>
      <c r="E61" s="58">
        <f>(D61/C61)</f>
        <v>0.4324762649935883</v>
      </c>
      <c r="F61" s="58"/>
      <c r="G61" s="67"/>
      <c r="H61" s="67"/>
      <c r="I61" s="67"/>
      <c r="J61" s="67"/>
      <c r="K61" s="67"/>
      <c r="L61" s="67"/>
      <c r="M61" s="67"/>
      <c r="N61" s="67"/>
    </row>
    <row r="62" spans="1:14" s="37" customFormat="1" ht="22.5" customHeight="1">
      <c r="A62" s="18">
        <v>6000</v>
      </c>
      <c r="B62" s="18" t="s">
        <v>35</v>
      </c>
      <c r="C62" s="19">
        <f>SUM(C63:C64)</f>
        <v>601809600</v>
      </c>
      <c r="D62" s="19">
        <f>SUM(D63:D64)</f>
        <v>237031200</v>
      </c>
      <c r="E62" s="59"/>
      <c r="F62" s="59"/>
      <c r="G62" s="67">
        <f>'CK- TH Q2'!G62+'CK -TH Q1'!G62</f>
        <v>0</v>
      </c>
      <c r="H62" s="67"/>
      <c r="I62" s="67"/>
      <c r="J62" s="67"/>
      <c r="K62" s="67"/>
      <c r="L62" s="67"/>
      <c r="M62" s="67"/>
      <c r="N62" s="67"/>
    </row>
    <row r="63" spans="1:14" s="37" customFormat="1" ht="22.5" customHeight="1">
      <c r="A63" s="11">
        <v>6001</v>
      </c>
      <c r="B63" s="11" t="s">
        <v>30</v>
      </c>
      <c r="C63" s="20">
        <f>435489600+166320000</f>
        <v>601809600</v>
      </c>
      <c r="D63" s="23">
        <f>'CK- TH Q2'!D63+'CK -TH Q1'!D63</f>
        <v>211428000</v>
      </c>
      <c r="E63" s="60">
        <f>(D63/C63)</f>
        <v>0.3513204176204567</v>
      </c>
      <c r="F63" s="60"/>
      <c r="G63" s="67"/>
      <c r="H63" s="67"/>
      <c r="I63" s="67"/>
      <c r="J63" s="67"/>
      <c r="K63" s="67"/>
      <c r="L63" s="67"/>
      <c r="M63" s="67"/>
      <c r="N63" s="67"/>
    </row>
    <row r="64" spans="1:14" s="37" customFormat="1" ht="22.5" customHeight="1">
      <c r="A64" s="11">
        <v>6003</v>
      </c>
      <c r="B64" s="11" t="s">
        <v>31</v>
      </c>
      <c r="C64" s="20"/>
      <c r="D64" s="23">
        <f>'CK- TH Q2'!D64+'CK -TH Q1'!D64</f>
        <v>25603200</v>
      </c>
      <c r="E64" s="60"/>
      <c r="F64" s="60"/>
      <c r="G64" s="67"/>
      <c r="H64" s="67"/>
      <c r="I64" s="67"/>
      <c r="J64" s="67"/>
      <c r="K64" s="67"/>
      <c r="L64" s="67"/>
      <c r="M64" s="67"/>
      <c r="N64" s="67"/>
    </row>
    <row r="65" spans="1:14" s="37" customFormat="1" ht="22.5" customHeight="1">
      <c r="A65" s="18">
        <v>6100</v>
      </c>
      <c r="B65" s="18" t="s">
        <v>36</v>
      </c>
      <c r="C65" s="19">
        <f>SUM(C66:C69)</f>
        <v>310420235</v>
      </c>
      <c r="D65" s="19">
        <f>SUM(D66:D69)</f>
        <v>128059736</v>
      </c>
      <c r="E65" s="61"/>
      <c r="F65" s="59"/>
      <c r="G65" s="67"/>
      <c r="H65" s="67"/>
      <c r="I65" s="67"/>
      <c r="J65" s="67"/>
      <c r="K65" s="67"/>
      <c r="L65" s="67"/>
      <c r="M65" s="67"/>
      <c r="N65" s="67"/>
    </row>
    <row r="66" spans="1:14" s="37" customFormat="1" ht="22.5" customHeight="1">
      <c r="A66" s="11">
        <v>6101</v>
      </c>
      <c r="B66" s="11" t="s">
        <v>32</v>
      </c>
      <c r="C66" s="20">
        <v>10920000</v>
      </c>
      <c r="D66" s="23">
        <f>'CK- TH Q2'!D66+'CK -TH Q1'!D66</f>
        <v>3808000</v>
      </c>
      <c r="E66" s="60">
        <f>(D66/C66)</f>
        <v>0.3487179487179487</v>
      </c>
      <c r="F66" s="60"/>
      <c r="G66" s="67"/>
      <c r="H66" s="67"/>
      <c r="I66" s="67"/>
      <c r="J66" s="67"/>
      <c r="K66" s="67"/>
      <c r="L66" s="67"/>
      <c r="M66" s="67"/>
      <c r="N66" s="67"/>
    </row>
    <row r="67" spans="1:14" s="37" customFormat="1" ht="22.5" customHeight="1">
      <c r="A67" s="11">
        <v>6112</v>
      </c>
      <c r="B67" s="11" t="s">
        <v>33</v>
      </c>
      <c r="C67" s="20">
        <v>196109760</v>
      </c>
      <c r="D67" s="23">
        <f>'CK- TH Q2'!D67+'CK -TH Q1'!D67</f>
        <v>79346820</v>
      </c>
      <c r="E67" s="60">
        <f>(D67/C67)</f>
        <v>0.40460413596957134</v>
      </c>
      <c r="F67" s="60"/>
      <c r="G67" s="67"/>
      <c r="H67" s="67"/>
      <c r="I67" s="67"/>
      <c r="J67" s="67"/>
      <c r="K67" s="67"/>
      <c r="L67" s="67"/>
      <c r="M67" s="67"/>
      <c r="N67" s="67"/>
    </row>
    <row r="68" spans="1:14" s="37" customFormat="1" ht="22.5" customHeight="1">
      <c r="A68" s="11">
        <v>6113</v>
      </c>
      <c r="B68" s="11" t="s">
        <v>34</v>
      </c>
      <c r="C68" s="20">
        <v>1680000</v>
      </c>
      <c r="D68" s="23">
        <f>'CK- TH Q2'!D68+'CK -TH Q1'!D68</f>
        <v>700000</v>
      </c>
      <c r="E68" s="60">
        <f>(D68/C68)</f>
        <v>0.4166666666666667</v>
      </c>
      <c r="F68" s="60"/>
      <c r="G68" s="67"/>
      <c r="H68" s="67"/>
      <c r="I68" s="67"/>
      <c r="J68" s="67"/>
      <c r="K68" s="67"/>
      <c r="L68" s="67"/>
      <c r="M68" s="67"/>
      <c r="N68" s="67"/>
    </row>
    <row r="69" spans="1:14" s="37" customFormat="1" ht="22.5" customHeight="1">
      <c r="A69" s="11">
        <v>6115</v>
      </c>
      <c r="B69" s="11" t="s">
        <v>95</v>
      </c>
      <c r="C69" s="20">
        <v>101710475</v>
      </c>
      <c r="D69" s="23">
        <f>'CK- TH Q2'!D69+'CK -TH Q1'!D69</f>
        <v>44204916</v>
      </c>
      <c r="E69" s="60">
        <f>(D69/C69)</f>
        <v>0.43461517606716515</v>
      </c>
      <c r="F69" s="60"/>
      <c r="G69" s="67"/>
      <c r="H69" s="67"/>
      <c r="I69" s="67"/>
      <c r="J69" s="67"/>
      <c r="K69" s="67"/>
      <c r="L69" s="67"/>
      <c r="M69" s="67"/>
      <c r="N69" s="67"/>
    </row>
    <row r="70" spans="1:14" s="37" customFormat="1" ht="22.5" customHeight="1">
      <c r="A70" s="18">
        <v>6300</v>
      </c>
      <c r="B70" s="18" t="s">
        <v>40</v>
      </c>
      <c r="C70" s="19">
        <f>SUM(C71:C74)</f>
        <v>167893112</v>
      </c>
      <c r="D70" s="19">
        <f>SUM(D71:D74)</f>
        <v>109430239</v>
      </c>
      <c r="E70" s="59"/>
      <c r="F70" s="59"/>
      <c r="G70" s="67"/>
      <c r="H70" s="67"/>
      <c r="I70" s="67"/>
      <c r="J70" s="67"/>
      <c r="K70" s="67"/>
      <c r="L70" s="67"/>
      <c r="M70" s="67"/>
      <c r="N70" s="67"/>
    </row>
    <row r="71" spans="1:14" s="37" customFormat="1" ht="22.5" customHeight="1">
      <c r="A71" s="11">
        <v>6301</v>
      </c>
      <c r="B71" s="11" t="s">
        <v>41</v>
      </c>
      <c r="C71" s="20">
        <v>125026708</v>
      </c>
      <c r="D71" s="23">
        <f>'CK- TH Q2'!D71+'CK -TH Q1'!D71</f>
        <v>92416274</v>
      </c>
      <c r="E71" s="60">
        <f>(D71/C71)</f>
        <v>0.7391722574987738</v>
      </c>
      <c r="F71" s="60"/>
      <c r="G71" s="67"/>
      <c r="H71" s="67"/>
      <c r="I71" s="67"/>
      <c r="J71" s="67"/>
      <c r="K71" s="67"/>
      <c r="L71" s="67"/>
      <c r="M71" s="67"/>
      <c r="N71" s="67"/>
    </row>
    <row r="72" spans="1:14" s="37" customFormat="1" ht="22.5" customHeight="1">
      <c r="A72" s="11">
        <v>6302</v>
      </c>
      <c r="B72" s="11" t="s">
        <v>42</v>
      </c>
      <c r="C72" s="20">
        <v>21433202</v>
      </c>
      <c r="D72" s="23">
        <f>'CK- TH Q2'!D72+'CK -TH Q1'!D72</f>
        <v>8551324</v>
      </c>
      <c r="E72" s="60">
        <f>(D72/C72)</f>
        <v>0.3989755707056743</v>
      </c>
      <c r="F72" s="60"/>
      <c r="G72" s="67"/>
      <c r="H72" s="67"/>
      <c r="I72" s="67"/>
      <c r="J72" s="67"/>
      <c r="K72" s="67"/>
      <c r="L72" s="67"/>
      <c r="M72" s="67"/>
      <c r="N72" s="67"/>
    </row>
    <row r="73" spans="1:14" s="37" customFormat="1" ht="22.5" customHeight="1">
      <c r="A73" s="11">
        <v>6303</v>
      </c>
      <c r="B73" s="11" t="s">
        <v>43</v>
      </c>
      <c r="C73" s="20">
        <v>14288801</v>
      </c>
      <c r="D73" s="23">
        <f>'CK- TH Q2'!D73+'CK -TH Q1'!D73</f>
        <v>5700883</v>
      </c>
      <c r="E73" s="60">
        <f>(D73/C73)</f>
        <v>0.39897560334138604</v>
      </c>
      <c r="F73" s="60"/>
      <c r="G73" s="67"/>
      <c r="H73" s="67"/>
      <c r="I73" s="67"/>
      <c r="J73" s="67"/>
      <c r="K73" s="67"/>
      <c r="L73" s="67"/>
      <c r="M73" s="67"/>
      <c r="N73" s="67"/>
    </row>
    <row r="74" spans="1:14" s="37" customFormat="1" ht="22.5" customHeight="1">
      <c r="A74" s="11">
        <v>6304</v>
      </c>
      <c r="B74" s="11" t="s">
        <v>44</v>
      </c>
      <c r="C74" s="20">
        <v>7144401</v>
      </c>
      <c r="D74" s="23">
        <f>'CK- TH Q2'!D74+'CK -TH Q1'!D74</f>
        <v>2761758</v>
      </c>
      <c r="E74" s="60">
        <f>(D74/C74)</f>
        <v>0.3865625683664733</v>
      </c>
      <c r="F74" s="60"/>
      <c r="G74" s="67"/>
      <c r="H74" s="67"/>
      <c r="I74" s="67"/>
      <c r="J74" s="67"/>
      <c r="K74" s="67"/>
      <c r="L74" s="67"/>
      <c r="M74" s="67"/>
      <c r="N74" s="67"/>
    </row>
    <row r="75" spans="1:14" s="52" customFormat="1" ht="22.5" customHeight="1">
      <c r="A75" s="18">
        <v>7750</v>
      </c>
      <c r="B75" s="18" t="s">
        <v>129</v>
      </c>
      <c r="C75" s="19">
        <f>C76</f>
        <v>17096053</v>
      </c>
      <c r="D75" s="19"/>
      <c r="E75" s="59"/>
      <c r="F75" s="59"/>
      <c r="G75" s="69"/>
      <c r="H75" s="69"/>
      <c r="I75" s="69"/>
      <c r="J75" s="69"/>
      <c r="K75" s="69"/>
      <c r="L75" s="69"/>
      <c r="M75" s="69"/>
      <c r="N75" s="69"/>
    </row>
    <row r="76" spans="1:14" s="37" customFormat="1" ht="22.5" customHeight="1">
      <c r="A76" s="11">
        <v>7799</v>
      </c>
      <c r="B76" s="11" t="s">
        <v>130</v>
      </c>
      <c r="C76" s="20">
        <v>17096053</v>
      </c>
      <c r="D76" s="20"/>
      <c r="E76" s="60"/>
      <c r="F76" s="60"/>
      <c r="G76" s="67"/>
      <c r="H76" s="67"/>
      <c r="I76" s="67"/>
      <c r="J76" s="67"/>
      <c r="K76" s="67"/>
      <c r="L76" s="67"/>
      <c r="M76" s="67"/>
      <c r="N76" s="67"/>
    </row>
    <row r="77" spans="1:14" s="37" customFormat="1" ht="22.5" customHeight="1">
      <c r="A77" s="18">
        <v>6500</v>
      </c>
      <c r="B77" s="18" t="s">
        <v>45</v>
      </c>
      <c r="C77" s="26">
        <f>SUM(C78:C80)</f>
        <v>111900000</v>
      </c>
      <c r="D77" s="26">
        <f>SUM(D78:D80)</f>
        <v>16726209</v>
      </c>
      <c r="E77" s="59"/>
      <c r="F77" s="59">
        <f>G77/D77</f>
        <v>1.987825214906737</v>
      </c>
      <c r="G77" s="67">
        <f>'CK- TH Q2'!G77+'CK -TH Q1'!G77</f>
        <v>33248780</v>
      </c>
      <c r="H77" s="67"/>
      <c r="I77" s="67"/>
      <c r="J77" s="67"/>
      <c r="K77" s="67"/>
      <c r="L77" s="67"/>
      <c r="M77" s="67"/>
      <c r="N77" s="67"/>
    </row>
    <row r="78" spans="1:14" s="37" customFormat="1" ht="22.5" customHeight="1">
      <c r="A78" s="11">
        <v>6501</v>
      </c>
      <c r="B78" s="11" t="s">
        <v>46</v>
      </c>
      <c r="C78" s="27">
        <v>90000000</v>
      </c>
      <c r="D78" s="23">
        <f>'CK- TH Q2'!D78+'CK -TH Q1'!D78</f>
        <v>9526209</v>
      </c>
      <c r="E78" s="60">
        <f>(D78/C78)</f>
        <v>0.10584676666666666</v>
      </c>
      <c r="F78" s="60"/>
      <c r="G78" s="67"/>
      <c r="H78" s="67"/>
      <c r="I78" s="67"/>
      <c r="J78" s="67"/>
      <c r="K78" s="67"/>
      <c r="L78" s="67"/>
      <c r="M78" s="67"/>
      <c r="N78" s="67"/>
    </row>
    <row r="79" spans="1:14" s="37" customFormat="1" ht="22.5" customHeight="1">
      <c r="A79" s="11">
        <v>6502</v>
      </c>
      <c r="B79" s="11" t="s">
        <v>47</v>
      </c>
      <c r="C79" s="27">
        <v>4800000</v>
      </c>
      <c r="D79" s="23">
        <f>'CK- TH Q2'!D79+'CK -TH Q1'!D79</f>
        <v>0</v>
      </c>
      <c r="E79" s="60">
        <f>(D79/C79)</f>
        <v>0</v>
      </c>
      <c r="F79" s="60"/>
      <c r="G79" s="67"/>
      <c r="H79" s="67"/>
      <c r="I79" s="67"/>
      <c r="J79" s="67"/>
      <c r="K79" s="67"/>
      <c r="L79" s="67"/>
      <c r="M79" s="67"/>
      <c r="N79" s="67"/>
    </row>
    <row r="80" spans="1:14" s="37" customFormat="1" ht="22.5" customHeight="1">
      <c r="A80" s="11">
        <v>6504</v>
      </c>
      <c r="B80" s="11" t="s">
        <v>48</v>
      </c>
      <c r="C80" s="27">
        <v>17100000</v>
      </c>
      <c r="D80" s="23">
        <f>'CK- TH Q2'!D80+'CK -TH Q1'!D80</f>
        <v>7200000</v>
      </c>
      <c r="E80" s="60">
        <f>(D80/C80)</f>
        <v>0.42105263157894735</v>
      </c>
      <c r="F80" s="60"/>
      <c r="G80" s="67"/>
      <c r="H80" s="67"/>
      <c r="I80" s="67"/>
      <c r="J80" s="67"/>
      <c r="K80" s="67"/>
      <c r="L80" s="67"/>
      <c r="M80" s="67"/>
      <c r="N80" s="67"/>
    </row>
    <row r="81" spans="1:14" s="37" customFormat="1" ht="22.5" customHeight="1">
      <c r="A81" s="18">
        <v>6550</v>
      </c>
      <c r="B81" s="18" t="s">
        <v>49</v>
      </c>
      <c r="C81" s="13">
        <f>SUM(C82:C84)</f>
        <v>124562200</v>
      </c>
      <c r="D81" s="13">
        <f>SUM(D82:D84)</f>
        <v>24300500</v>
      </c>
      <c r="E81" s="59"/>
      <c r="F81" s="59">
        <f>G81/D81</f>
        <v>1.9533754449496923</v>
      </c>
      <c r="G81" s="67">
        <f>'CK- TH Q2'!G81+'CK -TH Q1'!G81</f>
        <v>47468000</v>
      </c>
      <c r="H81" s="67"/>
      <c r="I81" s="67"/>
      <c r="J81" s="67"/>
      <c r="K81" s="67"/>
      <c r="L81" s="67"/>
      <c r="M81" s="67"/>
      <c r="N81" s="67"/>
    </row>
    <row r="82" spans="1:14" s="37" customFormat="1" ht="22.5" customHeight="1">
      <c r="A82" s="11">
        <v>6551</v>
      </c>
      <c r="B82" s="11" t="s">
        <v>50</v>
      </c>
      <c r="C82" s="27">
        <v>43212200</v>
      </c>
      <c r="D82" s="23">
        <f>'CK- TH Q2'!D82+'CK -TH Q1'!D82</f>
        <v>10015000</v>
      </c>
      <c r="E82" s="60">
        <f>(D82/C82)</f>
        <v>0.2317632520445615</v>
      </c>
      <c r="F82" s="60"/>
      <c r="G82" s="67"/>
      <c r="H82" s="67"/>
      <c r="I82" s="67"/>
      <c r="J82" s="67"/>
      <c r="K82" s="67"/>
      <c r="L82" s="67"/>
      <c r="M82" s="67"/>
      <c r="N82" s="67"/>
    </row>
    <row r="83" spans="1:14" s="37" customFormat="1" ht="22.5" customHeight="1">
      <c r="A83" s="11">
        <v>6552</v>
      </c>
      <c r="B83" s="11" t="s">
        <v>51</v>
      </c>
      <c r="C83" s="27">
        <v>10200000</v>
      </c>
      <c r="D83" s="23">
        <f>'CK- TH Q2'!D83+'CK -TH Q1'!D83</f>
        <v>0</v>
      </c>
      <c r="E83" s="60">
        <f>(D83/C83)</f>
        <v>0</v>
      </c>
      <c r="F83" s="60"/>
      <c r="G83" s="67"/>
      <c r="H83" s="67"/>
      <c r="I83" s="67"/>
      <c r="J83" s="67"/>
      <c r="K83" s="67"/>
      <c r="L83" s="67"/>
      <c r="M83" s="67"/>
      <c r="N83" s="67"/>
    </row>
    <row r="84" spans="1:14" s="37" customFormat="1" ht="22.5" customHeight="1">
      <c r="A84" s="11">
        <v>6559</v>
      </c>
      <c r="B84" s="11" t="s">
        <v>52</v>
      </c>
      <c r="C84" s="27">
        <v>71150000</v>
      </c>
      <c r="D84" s="23">
        <f>'CK- TH Q2'!D84+'CK -TH Q1'!D84</f>
        <v>14285500</v>
      </c>
      <c r="E84" s="60">
        <f>(D84/C84)</f>
        <v>0.2007800421644413</v>
      </c>
      <c r="F84" s="80"/>
      <c r="G84" s="67"/>
      <c r="H84" s="67"/>
      <c r="I84" s="67"/>
      <c r="J84" s="67"/>
      <c r="K84" s="67"/>
      <c r="L84" s="67"/>
      <c r="M84" s="67"/>
      <c r="N84" s="67"/>
    </row>
    <row r="85" spans="1:14" s="37" customFormat="1" ht="22.5" customHeight="1">
      <c r="A85" s="18">
        <v>6600</v>
      </c>
      <c r="B85" s="18" t="s">
        <v>53</v>
      </c>
      <c r="C85" s="13">
        <f>SUM(C86:C89)</f>
        <v>24000000</v>
      </c>
      <c r="D85" s="13">
        <f>SUM(D86:D89)</f>
        <v>3732000</v>
      </c>
      <c r="E85" s="59"/>
      <c r="F85" s="59">
        <f>G85/D85</f>
        <v>1.235262593783494</v>
      </c>
      <c r="G85" s="67">
        <f>'CK- TH Q2'!G85+'CK -TH Q1'!G85</f>
        <v>4610000</v>
      </c>
      <c r="H85" s="67"/>
      <c r="I85" s="67"/>
      <c r="J85" s="67"/>
      <c r="K85" s="67"/>
      <c r="L85" s="67"/>
      <c r="M85" s="67"/>
      <c r="N85" s="67"/>
    </row>
    <row r="86" spans="1:14" s="37" customFormat="1" ht="22.5" customHeight="1">
      <c r="A86" s="11">
        <v>6601</v>
      </c>
      <c r="B86" s="11" t="s">
        <v>54</v>
      </c>
      <c r="C86" s="27">
        <v>3600000</v>
      </c>
      <c r="D86" s="23">
        <f>'CK- TH Q2'!D86+'CK -TH Q1'!D86</f>
        <v>132000</v>
      </c>
      <c r="E86" s="60">
        <f>(D86/C86)</f>
        <v>0.03666666666666667</v>
      </c>
      <c r="F86" s="60"/>
      <c r="G86" s="67"/>
      <c r="H86" s="67"/>
      <c r="I86" s="67"/>
      <c r="J86" s="67"/>
      <c r="K86" s="67"/>
      <c r="L86" s="67"/>
      <c r="M86" s="67"/>
      <c r="N86" s="67"/>
    </row>
    <row r="87" spans="1:14" s="37" customFormat="1" ht="22.5" customHeight="1">
      <c r="A87" s="11">
        <v>6605</v>
      </c>
      <c r="B87" s="11" t="s">
        <v>56</v>
      </c>
      <c r="C87" s="27">
        <v>8400000</v>
      </c>
      <c r="D87" s="23">
        <f>'CK- TH Q2'!D87+'CK -TH Q1'!D87</f>
        <v>0</v>
      </c>
      <c r="E87" s="60">
        <f>(D87/C87)</f>
        <v>0</v>
      </c>
      <c r="F87" s="60"/>
      <c r="G87" s="67"/>
      <c r="H87" s="67"/>
      <c r="I87" s="67"/>
      <c r="J87" s="67"/>
      <c r="K87" s="67"/>
      <c r="L87" s="67"/>
      <c r="M87" s="67"/>
      <c r="N87" s="67"/>
    </row>
    <row r="88" spans="1:14" s="37" customFormat="1" ht="22.5" customHeight="1">
      <c r="A88" s="11">
        <v>6608</v>
      </c>
      <c r="B88" s="11" t="s">
        <v>55</v>
      </c>
      <c r="C88" s="27">
        <v>3000000</v>
      </c>
      <c r="D88" s="23">
        <f>'CK- TH Q2'!D88+'CK -TH Q1'!D88</f>
        <v>0</v>
      </c>
      <c r="E88" s="60">
        <f>(D88/C88)</f>
        <v>0</v>
      </c>
      <c r="F88" s="60"/>
      <c r="G88" s="67"/>
      <c r="H88" s="67"/>
      <c r="I88" s="67"/>
      <c r="J88" s="67"/>
      <c r="K88" s="67"/>
      <c r="L88" s="67"/>
      <c r="M88" s="67"/>
      <c r="N88" s="67"/>
    </row>
    <row r="89" spans="1:14" s="37" customFormat="1" ht="22.5" customHeight="1">
      <c r="A89" s="11">
        <v>6618</v>
      </c>
      <c r="B89" s="11" t="s">
        <v>91</v>
      </c>
      <c r="C89" s="27">
        <v>9000000</v>
      </c>
      <c r="D89" s="23">
        <f>'CK- TH Q2'!D89+'CK -TH Q1'!D89</f>
        <v>3600000</v>
      </c>
      <c r="E89" s="60">
        <f>(D89/C89)</f>
        <v>0.4</v>
      </c>
      <c r="F89" s="60"/>
      <c r="G89" s="67"/>
      <c r="H89" s="67"/>
      <c r="I89" s="67"/>
      <c r="J89" s="67"/>
      <c r="K89" s="67"/>
      <c r="L89" s="67"/>
      <c r="M89" s="67"/>
      <c r="N89" s="67"/>
    </row>
    <row r="90" spans="1:14" s="37" customFormat="1" ht="22.5" customHeight="1">
      <c r="A90" s="18">
        <v>6650</v>
      </c>
      <c r="B90" s="18" t="s">
        <v>57</v>
      </c>
      <c r="C90" s="13">
        <f>SUM(C91:C93)</f>
        <v>5840000</v>
      </c>
      <c r="D90" s="13">
        <f>SUM(D91:D93)</f>
        <v>0</v>
      </c>
      <c r="E90" s="59"/>
      <c r="F90" s="59"/>
      <c r="G90" s="67">
        <f>'CK- TH Q2'!G90+'CK -TH Q1'!G90</f>
        <v>0</v>
      </c>
      <c r="H90" s="67"/>
      <c r="I90" s="67"/>
      <c r="J90" s="67"/>
      <c r="K90" s="67"/>
      <c r="L90" s="67"/>
      <c r="M90" s="67"/>
      <c r="N90" s="67"/>
    </row>
    <row r="91" spans="1:14" s="37" customFormat="1" ht="22.5" customHeight="1">
      <c r="A91" s="11">
        <v>6651</v>
      </c>
      <c r="B91" s="11" t="s">
        <v>116</v>
      </c>
      <c r="C91" s="27">
        <v>1200000</v>
      </c>
      <c r="D91" s="23">
        <f>'CK- TH Q2'!D91+'CK -TH Q1'!D91</f>
        <v>0</v>
      </c>
      <c r="E91" s="60">
        <f>(D91/C91)</f>
        <v>0</v>
      </c>
      <c r="F91" s="57"/>
      <c r="G91" s="67"/>
      <c r="H91" s="67"/>
      <c r="I91" s="67"/>
      <c r="J91" s="67"/>
      <c r="K91" s="67"/>
      <c r="L91" s="67"/>
      <c r="M91" s="67"/>
      <c r="N91" s="67"/>
    </row>
    <row r="92" spans="1:14" s="37" customFormat="1" ht="22.5" customHeight="1">
      <c r="A92" s="11">
        <v>6657</v>
      </c>
      <c r="B92" s="11" t="s">
        <v>58</v>
      </c>
      <c r="C92" s="27">
        <v>1200000</v>
      </c>
      <c r="D92" s="23">
        <f>'CK- TH Q2'!D92+'CK -TH Q1'!D92</f>
        <v>0</v>
      </c>
      <c r="E92" s="60">
        <f>(D92/C92)</f>
        <v>0</v>
      </c>
      <c r="F92" s="57"/>
      <c r="G92" s="67"/>
      <c r="H92" s="67"/>
      <c r="I92" s="67"/>
      <c r="J92" s="67"/>
      <c r="K92" s="67"/>
      <c r="L92" s="67"/>
      <c r="M92" s="67"/>
      <c r="N92" s="67"/>
    </row>
    <row r="93" spans="1:14" s="37" customFormat="1" ht="22.5" customHeight="1">
      <c r="A93" s="11">
        <v>6699</v>
      </c>
      <c r="B93" s="11" t="s">
        <v>59</v>
      </c>
      <c r="C93" s="27">
        <v>3440000</v>
      </c>
      <c r="D93" s="23">
        <f>'CK- TH Q2'!D93+'CK -TH Q1'!D93</f>
        <v>0</v>
      </c>
      <c r="E93" s="60">
        <f>(D93/C93)</f>
        <v>0</v>
      </c>
      <c r="F93" s="57"/>
      <c r="G93" s="67"/>
      <c r="H93" s="67"/>
      <c r="I93" s="67"/>
      <c r="J93" s="67"/>
      <c r="K93" s="67"/>
      <c r="L93" s="67"/>
      <c r="M93" s="67"/>
      <c r="N93" s="67"/>
    </row>
    <row r="94" spans="1:14" s="37" customFormat="1" ht="22.5" customHeight="1">
      <c r="A94" s="18">
        <v>6700</v>
      </c>
      <c r="B94" s="18" t="s">
        <v>60</v>
      </c>
      <c r="C94" s="13">
        <f>SUM(C95:C99)</f>
        <v>116300000</v>
      </c>
      <c r="D94" s="13">
        <f>SUM(D95:D99)</f>
        <v>15369000</v>
      </c>
      <c r="E94" s="59"/>
      <c r="F94" s="59">
        <f>G94/D94</f>
        <v>1.561129546489687</v>
      </c>
      <c r="G94" s="67">
        <f>'CK- TH Q2'!G94+'CK -TH Q1'!G94</f>
        <v>23993000</v>
      </c>
      <c r="H94" s="67"/>
      <c r="I94" s="67"/>
      <c r="J94" s="67"/>
      <c r="K94" s="67"/>
      <c r="L94" s="67"/>
      <c r="M94" s="67"/>
      <c r="N94" s="67"/>
    </row>
    <row r="95" spans="1:14" s="37" customFormat="1" ht="22.5" customHeight="1">
      <c r="A95" s="11">
        <v>6701</v>
      </c>
      <c r="B95" s="11" t="s">
        <v>61</v>
      </c>
      <c r="C95" s="27">
        <v>38000000</v>
      </c>
      <c r="D95" s="23">
        <f>'CK- TH Q2'!D95+'CK -TH Q1'!D95</f>
        <v>903000</v>
      </c>
      <c r="E95" s="60">
        <f>(D95/C95)</f>
        <v>0.023763157894736844</v>
      </c>
      <c r="F95" s="60"/>
      <c r="G95" s="67"/>
      <c r="H95" s="67"/>
      <c r="I95" s="67"/>
      <c r="J95" s="67"/>
      <c r="K95" s="67"/>
      <c r="L95" s="67"/>
      <c r="M95" s="67"/>
      <c r="N95" s="67"/>
    </row>
    <row r="96" spans="1:14" s="37" customFormat="1" ht="22.5" customHeight="1">
      <c r="A96" s="11">
        <v>6702</v>
      </c>
      <c r="B96" s="11" t="s">
        <v>62</v>
      </c>
      <c r="C96" s="27">
        <v>42000000</v>
      </c>
      <c r="D96" s="23">
        <f>'CK- TH Q2'!D96+'CK -TH Q1'!D96</f>
        <v>1716000</v>
      </c>
      <c r="E96" s="60">
        <f>(D96/C96)</f>
        <v>0.040857142857142856</v>
      </c>
      <c r="F96" s="60"/>
      <c r="G96" s="67"/>
      <c r="H96" s="67"/>
      <c r="I96" s="67"/>
      <c r="J96" s="67"/>
      <c r="K96" s="67"/>
      <c r="L96" s="67"/>
      <c r="M96" s="67"/>
      <c r="N96" s="67"/>
    </row>
    <row r="97" spans="1:14" s="37" customFormat="1" ht="22.5" customHeight="1">
      <c r="A97" s="11">
        <v>6703</v>
      </c>
      <c r="B97" s="11" t="s">
        <v>63</v>
      </c>
      <c r="C97" s="27">
        <v>8300000</v>
      </c>
      <c r="D97" s="23">
        <f>'CK- TH Q2'!D97+'CK -TH Q1'!D97</f>
        <v>750000</v>
      </c>
      <c r="E97" s="60">
        <f>(D97/C97)</f>
        <v>0.09036144578313253</v>
      </c>
      <c r="F97" s="60"/>
      <c r="G97" s="67"/>
      <c r="H97" s="67"/>
      <c r="I97" s="67"/>
      <c r="J97" s="67"/>
      <c r="K97" s="67"/>
      <c r="L97" s="67"/>
      <c r="M97" s="67"/>
      <c r="N97" s="67"/>
    </row>
    <row r="98" spans="1:14" s="37" customFormat="1" ht="22.5" customHeight="1">
      <c r="A98" s="11">
        <v>6704</v>
      </c>
      <c r="B98" s="11" t="s">
        <v>64</v>
      </c>
      <c r="C98" s="27">
        <v>24000000</v>
      </c>
      <c r="D98" s="23">
        <f>'CK- TH Q2'!D98+'CK -TH Q1'!D98</f>
        <v>12000000</v>
      </c>
      <c r="E98" s="60">
        <f>(D98/C98)</f>
        <v>0.5</v>
      </c>
      <c r="F98" s="60"/>
      <c r="G98" s="67"/>
      <c r="H98" s="67"/>
      <c r="I98" s="67"/>
      <c r="J98" s="67"/>
      <c r="K98" s="67"/>
      <c r="L98" s="67"/>
      <c r="M98" s="67"/>
      <c r="N98" s="67"/>
    </row>
    <row r="99" spans="1:14" s="37" customFormat="1" ht="22.5" customHeight="1">
      <c r="A99" s="11">
        <v>6749</v>
      </c>
      <c r="B99" s="11" t="s">
        <v>65</v>
      </c>
      <c r="C99" s="27">
        <v>4000000</v>
      </c>
      <c r="D99" s="23">
        <f>'CK- TH Q2'!D99+'CK -TH Q1'!D99</f>
        <v>0</v>
      </c>
      <c r="E99" s="60">
        <f>(D99/C99)</f>
        <v>0</v>
      </c>
      <c r="F99" s="60"/>
      <c r="G99" s="67"/>
      <c r="H99" s="67"/>
      <c r="I99" s="67"/>
      <c r="J99" s="67"/>
      <c r="K99" s="67"/>
      <c r="L99" s="67"/>
      <c r="M99" s="67"/>
      <c r="N99" s="67"/>
    </row>
    <row r="100" spans="1:14" s="39" customFormat="1" ht="22.5" customHeight="1">
      <c r="A100" s="21">
        <v>6750</v>
      </c>
      <c r="B100" s="21" t="s">
        <v>86</v>
      </c>
      <c r="C100" s="13">
        <f>SUM(C101:C103)</f>
        <v>86004400</v>
      </c>
      <c r="D100" s="13">
        <f>SUM(D101:D103)</f>
        <v>48931800</v>
      </c>
      <c r="E100" s="63"/>
      <c r="F100" s="59">
        <f>G100/D100</f>
        <v>0.7681344238307195</v>
      </c>
      <c r="G100" s="67">
        <v>37586200</v>
      </c>
      <c r="H100" s="68"/>
      <c r="I100" s="68"/>
      <c r="J100" s="68"/>
      <c r="K100" s="68"/>
      <c r="L100" s="68"/>
      <c r="M100" s="68"/>
      <c r="N100" s="68"/>
    </row>
    <row r="101" spans="1:14" s="39" customFormat="1" ht="22.5" customHeight="1">
      <c r="A101" s="11">
        <v>6751</v>
      </c>
      <c r="B101" s="11" t="s">
        <v>117</v>
      </c>
      <c r="C101" s="27">
        <v>6500000</v>
      </c>
      <c r="D101" s="23">
        <f>'CK- TH Q2'!D101+'CK -TH Q1'!D101</f>
        <v>0</v>
      </c>
      <c r="E101" s="60">
        <f>(D101/C101)</f>
        <v>0</v>
      </c>
      <c r="F101" s="60"/>
      <c r="G101" s="68"/>
      <c r="H101" s="68"/>
      <c r="I101" s="68"/>
      <c r="J101" s="68"/>
      <c r="K101" s="68"/>
      <c r="L101" s="68"/>
      <c r="M101" s="68"/>
      <c r="N101" s="68"/>
    </row>
    <row r="102" spans="1:14" s="37" customFormat="1" ht="22.5" customHeight="1">
      <c r="A102" s="11">
        <v>6757</v>
      </c>
      <c r="B102" s="11" t="s">
        <v>97</v>
      </c>
      <c r="C102" s="27">
        <v>65504400</v>
      </c>
      <c r="D102" s="23">
        <f>'CK- TH Q2'!D102+'CK -TH Q1'!D102</f>
        <v>32221800</v>
      </c>
      <c r="E102" s="60">
        <f>(D102/C102)</f>
        <v>0.49190283400809715</v>
      </c>
      <c r="F102" s="60"/>
      <c r="G102" s="67"/>
      <c r="H102" s="67"/>
      <c r="I102" s="67"/>
      <c r="J102" s="67"/>
      <c r="K102" s="67"/>
      <c r="L102" s="67"/>
      <c r="M102" s="67"/>
      <c r="N102" s="67"/>
    </row>
    <row r="103" spans="1:14" s="37" customFormat="1" ht="22.5" customHeight="1">
      <c r="A103" s="11">
        <v>6799</v>
      </c>
      <c r="B103" s="11" t="s">
        <v>98</v>
      </c>
      <c r="C103" s="27">
        <v>14000000</v>
      </c>
      <c r="D103" s="23">
        <f>'CK- TH Q2'!D103+'CK -TH Q1'!D103</f>
        <v>16710000</v>
      </c>
      <c r="E103" s="60">
        <f>(D103/C103)</f>
        <v>1.1935714285714285</v>
      </c>
      <c r="F103" s="60"/>
      <c r="G103" s="67"/>
      <c r="H103" s="67"/>
      <c r="I103" s="67"/>
      <c r="J103" s="67"/>
      <c r="K103" s="67"/>
      <c r="L103" s="67"/>
      <c r="M103" s="67"/>
      <c r="N103" s="67"/>
    </row>
    <row r="104" spans="1:14" s="37" customFormat="1" ht="22.5" customHeight="1">
      <c r="A104" s="28">
        <v>6900</v>
      </c>
      <c r="B104" s="18" t="s">
        <v>66</v>
      </c>
      <c r="C104" s="13">
        <f>SUM(C105:C110)</f>
        <v>125200000</v>
      </c>
      <c r="D104" s="13">
        <f>SUM(D105:D110)</f>
        <v>22274000</v>
      </c>
      <c r="E104" s="59"/>
      <c r="F104" s="59">
        <f>G104/D104</f>
        <v>2.508260752446799</v>
      </c>
      <c r="G104" s="67">
        <f>'CK- TH Q2'!G104+'CK -TH Q1'!G104</f>
        <v>55869000</v>
      </c>
      <c r="H104" s="67"/>
      <c r="I104" s="67"/>
      <c r="J104" s="67"/>
      <c r="K104" s="67"/>
      <c r="L104" s="67"/>
      <c r="M104" s="67"/>
      <c r="N104" s="67"/>
    </row>
    <row r="105" spans="1:14" s="37" customFormat="1" ht="22.5" customHeight="1">
      <c r="A105" s="43">
        <v>6905</v>
      </c>
      <c r="B105" s="11" t="s">
        <v>100</v>
      </c>
      <c r="C105" s="27">
        <v>12200000</v>
      </c>
      <c r="D105" s="23">
        <f>'CK- TH Q2'!D105+'CK -TH Q1'!D105</f>
        <v>0</v>
      </c>
      <c r="E105" s="60">
        <f aca="true" t="shared" si="0" ref="E105:E110">(D105/C105)</f>
        <v>0</v>
      </c>
      <c r="F105" s="60"/>
      <c r="G105" s="67"/>
      <c r="H105" s="67"/>
      <c r="I105" s="67"/>
      <c r="J105" s="67"/>
      <c r="K105" s="67"/>
      <c r="L105" s="67"/>
      <c r="M105" s="67"/>
      <c r="N105" s="67"/>
    </row>
    <row r="106" spans="1:14" s="37" customFormat="1" ht="22.5" customHeight="1">
      <c r="A106" s="43">
        <v>6907</v>
      </c>
      <c r="B106" s="11" t="s">
        <v>101</v>
      </c>
      <c r="C106" s="27">
        <v>9000000</v>
      </c>
      <c r="D106" s="23">
        <f>'CK- TH Q2'!D106+'CK -TH Q1'!D106</f>
        <v>1870000</v>
      </c>
      <c r="E106" s="60">
        <f t="shared" si="0"/>
        <v>0.20777777777777778</v>
      </c>
      <c r="F106" s="60"/>
      <c r="G106" s="67"/>
      <c r="H106" s="67"/>
      <c r="I106" s="67"/>
      <c r="J106" s="67"/>
      <c r="K106" s="67"/>
      <c r="L106" s="67"/>
      <c r="M106" s="67"/>
      <c r="N106" s="67"/>
    </row>
    <row r="107" spans="1:14" s="37" customFormat="1" ht="22.5" customHeight="1">
      <c r="A107" s="11">
        <v>6912</v>
      </c>
      <c r="B107" s="11" t="s">
        <v>67</v>
      </c>
      <c r="C107" s="27">
        <v>22000000</v>
      </c>
      <c r="D107" s="23">
        <f>'CK- TH Q2'!D107+'CK -TH Q1'!D107</f>
        <v>9040000</v>
      </c>
      <c r="E107" s="60">
        <f t="shared" si="0"/>
        <v>0.4109090909090909</v>
      </c>
      <c r="F107" s="60"/>
      <c r="G107" s="67"/>
      <c r="H107" s="67"/>
      <c r="I107" s="67"/>
      <c r="J107" s="67"/>
      <c r="K107" s="67"/>
      <c r="L107" s="67"/>
      <c r="M107" s="67"/>
      <c r="N107" s="67"/>
    </row>
    <row r="108" spans="1:14" s="37" customFormat="1" ht="22.5" customHeight="1">
      <c r="A108" s="11">
        <v>6913</v>
      </c>
      <c r="B108" s="11" t="s">
        <v>68</v>
      </c>
      <c r="C108" s="27">
        <v>14000000</v>
      </c>
      <c r="D108" s="23">
        <f>'CK- TH Q2'!D108+'CK -TH Q1'!D108</f>
        <v>0</v>
      </c>
      <c r="E108" s="60">
        <f t="shared" si="0"/>
        <v>0</v>
      </c>
      <c r="F108" s="60"/>
      <c r="G108" s="67"/>
      <c r="H108" s="67"/>
      <c r="I108" s="67"/>
      <c r="J108" s="67"/>
      <c r="K108" s="67"/>
      <c r="L108" s="67"/>
      <c r="M108" s="67"/>
      <c r="N108" s="67"/>
    </row>
    <row r="109" spans="1:14" s="37" customFormat="1" ht="22.5" customHeight="1">
      <c r="A109" s="11">
        <v>6921</v>
      </c>
      <c r="B109" s="11" t="s">
        <v>69</v>
      </c>
      <c r="C109" s="27">
        <v>29000000</v>
      </c>
      <c r="D109" s="23">
        <f>'CK- TH Q2'!D109+'CK -TH Q1'!D109</f>
        <v>4334000</v>
      </c>
      <c r="E109" s="60">
        <f t="shared" si="0"/>
        <v>0.14944827586206896</v>
      </c>
      <c r="F109" s="57"/>
      <c r="G109" s="67"/>
      <c r="H109" s="67"/>
      <c r="I109" s="67"/>
      <c r="J109" s="67"/>
      <c r="K109" s="67"/>
      <c r="L109" s="67"/>
      <c r="M109" s="67"/>
      <c r="N109" s="67"/>
    </row>
    <row r="110" spans="1:14" s="37" customFormat="1" ht="35.25" customHeight="1">
      <c r="A110" s="11">
        <v>6949</v>
      </c>
      <c r="B110" s="29" t="s">
        <v>93</v>
      </c>
      <c r="C110" s="27">
        <v>39000000</v>
      </c>
      <c r="D110" s="23">
        <f>'CK- TH Q2'!D110+'CK -TH Q1'!D110</f>
        <v>7030000</v>
      </c>
      <c r="E110" s="60">
        <f t="shared" si="0"/>
        <v>0.18025641025641026</v>
      </c>
      <c r="F110" s="60"/>
      <c r="G110" s="67"/>
      <c r="H110" s="67"/>
      <c r="I110" s="67"/>
      <c r="J110" s="67"/>
      <c r="K110" s="67"/>
      <c r="L110" s="67"/>
      <c r="M110" s="67"/>
      <c r="N110" s="67"/>
    </row>
    <row r="111" spans="1:14" s="39" customFormat="1" ht="24" customHeight="1">
      <c r="A111" s="21">
        <v>6950</v>
      </c>
      <c r="B111" s="24" t="s">
        <v>118</v>
      </c>
      <c r="C111" s="49">
        <f>SUM(C112:C115)</f>
        <v>48446000</v>
      </c>
      <c r="D111" s="49">
        <f>SUM(D112:D115)</f>
        <v>0</v>
      </c>
      <c r="E111" s="58"/>
      <c r="F111" s="59"/>
      <c r="G111" s="67">
        <f>'CK- TH Q2'!G111+'CK -TH Q1'!G111</f>
        <v>0</v>
      </c>
      <c r="H111" s="68"/>
      <c r="I111" s="68"/>
      <c r="J111" s="68"/>
      <c r="K111" s="68"/>
      <c r="L111" s="68"/>
      <c r="M111" s="68"/>
      <c r="N111" s="68"/>
    </row>
    <row r="112" spans="1:14" s="37" customFormat="1" ht="24" customHeight="1">
      <c r="A112" s="11">
        <v>6954</v>
      </c>
      <c r="B112" s="29" t="s">
        <v>119</v>
      </c>
      <c r="C112" s="27">
        <v>11833000</v>
      </c>
      <c r="D112" s="23">
        <f>'CK- TH Q2'!D112+'CK -TH Q1'!D112</f>
        <v>0</v>
      </c>
      <c r="E112" s="60">
        <f aca="true" t="shared" si="1" ref="E112:E136">(D112/C112)</f>
        <v>0</v>
      </c>
      <c r="F112" s="60"/>
      <c r="G112" s="67"/>
      <c r="H112" s="67"/>
      <c r="I112" s="67"/>
      <c r="J112" s="67"/>
      <c r="K112" s="67"/>
      <c r="L112" s="67"/>
      <c r="M112" s="67"/>
      <c r="N112" s="67"/>
    </row>
    <row r="113" spans="1:14" s="37" customFormat="1" ht="24" customHeight="1">
      <c r="A113" s="11">
        <v>6955</v>
      </c>
      <c r="B113" s="29" t="s">
        <v>120</v>
      </c>
      <c r="C113" s="27">
        <v>9613000</v>
      </c>
      <c r="D113" s="23">
        <f>'CK- TH Q2'!D113+'CK -TH Q1'!D113</f>
        <v>0</v>
      </c>
      <c r="E113" s="60">
        <f t="shared" si="1"/>
        <v>0</v>
      </c>
      <c r="F113" s="60"/>
      <c r="G113" s="67"/>
      <c r="H113" s="67"/>
      <c r="I113" s="67"/>
      <c r="J113" s="67"/>
      <c r="K113" s="67"/>
      <c r="L113" s="67"/>
      <c r="M113" s="67"/>
      <c r="N113" s="67"/>
    </row>
    <row r="114" spans="1:14" s="37" customFormat="1" ht="24" customHeight="1">
      <c r="A114" s="11">
        <v>6999</v>
      </c>
      <c r="B114" s="29" t="s">
        <v>122</v>
      </c>
      <c r="C114" s="27">
        <v>12000000</v>
      </c>
      <c r="D114" s="23">
        <f>'CK- TH Q2'!D114+'CK -TH Q1'!D114</f>
        <v>0</v>
      </c>
      <c r="E114" s="60">
        <f t="shared" si="1"/>
        <v>0</v>
      </c>
      <c r="F114" s="60"/>
      <c r="G114" s="67"/>
      <c r="H114" s="67"/>
      <c r="I114" s="67"/>
      <c r="J114" s="67"/>
      <c r="K114" s="67"/>
      <c r="L114" s="67"/>
      <c r="M114" s="67"/>
      <c r="N114" s="67"/>
    </row>
    <row r="115" spans="1:14" s="37" customFormat="1" ht="24" customHeight="1">
      <c r="A115" s="11">
        <v>6999</v>
      </c>
      <c r="B115" s="29" t="s">
        <v>121</v>
      </c>
      <c r="C115" s="27">
        <v>15000000</v>
      </c>
      <c r="D115" s="23">
        <f>'CK- TH Q2'!D115+'CK -TH Q1'!D115</f>
        <v>0</v>
      </c>
      <c r="E115" s="60">
        <f t="shared" si="1"/>
        <v>0</v>
      </c>
      <c r="F115" s="60"/>
      <c r="G115" s="67"/>
      <c r="H115" s="67"/>
      <c r="I115" s="67"/>
      <c r="J115" s="67"/>
      <c r="K115" s="67"/>
      <c r="L115" s="67"/>
      <c r="M115" s="67"/>
      <c r="N115" s="67"/>
    </row>
    <row r="116" spans="1:14" s="37" customFormat="1" ht="22.5" customHeight="1">
      <c r="A116" s="18">
        <v>7000</v>
      </c>
      <c r="B116" s="18" t="s">
        <v>70</v>
      </c>
      <c r="C116" s="13">
        <f>SUM(C117:C124)</f>
        <v>418679400</v>
      </c>
      <c r="D116" s="13">
        <f>SUM(D117:D123)</f>
        <v>32528000</v>
      </c>
      <c r="E116" s="59"/>
      <c r="F116" s="59">
        <f>G116/D116</f>
        <v>2.165303738317757</v>
      </c>
      <c r="G116" s="67">
        <f>'CK- TH Q2'!G116+'CK -TH Q1'!G116</f>
        <v>70433000</v>
      </c>
      <c r="H116" s="67"/>
      <c r="I116" s="67"/>
      <c r="J116" s="67"/>
      <c r="K116" s="67"/>
      <c r="L116" s="67"/>
      <c r="M116" s="67"/>
      <c r="N116" s="67"/>
    </row>
    <row r="117" spans="1:14" s="37" customFormat="1" ht="22.5" customHeight="1">
      <c r="A117" s="11">
        <v>7001</v>
      </c>
      <c r="B117" s="11" t="s">
        <v>71</v>
      </c>
      <c r="C117" s="27">
        <f>33156800-9000000</f>
        <v>24156800</v>
      </c>
      <c r="D117" s="23">
        <f>'CK- TH Q2'!D117+'CK -TH Q1'!D117</f>
        <v>5368000</v>
      </c>
      <c r="E117" s="60">
        <f t="shared" si="1"/>
        <v>0.2222148628957478</v>
      </c>
      <c r="F117" s="57"/>
      <c r="G117" s="67"/>
      <c r="H117" s="67"/>
      <c r="I117" s="67"/>
      <c r="J117" s="67"/>
      <c r="K117" s="67"/>
      <c r="L117" s="67"/>
      <c r="M117" s="67"/>
      <c r="N117" s="67"/>
    </row>
    <row r="118" spans="1:14" s="37" customFormat="1" ht="22.5" customHeight="1">
      <c r="A118" s="11">
        <v>7004</v>
      </c>
      <c r="B118" s="11" t="s">
        <v>72</v>
      </c>
      <c r="C118" s="27">
        <v>1820000</v>
      </c>
      <c r="D118" s="23">
        <f>'CK- TH Q2'!D118+'CK -TH Q1'!D118</f>
        <v>0</v>
      </c>
      <c r="E118" s="60">
        <f t="shared" si="1"/>
        <v>0</v>
      </c>
      <c r="F118" s="57"/>
      <c r="G118" s="67"/>
      <c r="H118" s="67"/>
      <c r="I118" s="67"/>
      <c r="J118" s="67"/>
      <c r="K118" s="67"/>
      <c r="L118" s="67"/>
      <c r="M118" s="67"/>
      <c r="N118" s="67"/>
    </row>
    <row r="119" spans="1:14" s="37" customFormat="1" ht="36.75" customHeight="1">
      <c r="A119" s="11">
        <v>7012</v>
      </c>
      <c r="B119" s="29" t="s">
        <v>94</v>
      </c>
      <c r="C119" s="27">
        <v>9000000</v>
      </c>
      <c r="D119" s="23">
        <f>'CK- TH Q2'!D119+'CK -TH Q1'!D119</f>
        <v>6680000</v>
      </c>
      <c r="E119" s="60">
        <f t="shared" si="1"/>
        <v>0.7422222222222222</v>
      </c>
      <c r="F119" s="57"/>
      <c r="G119" s="67"/>
      <c r="H119" s="67"/>
      <c r="I119" s="67"/>
      <c r="J119" s="67"/>
      <c r="K119" s="67"/>
      <c r="L119" s="67"/>
      <c r="M119" s="67"/>
      <c r="N119" s="67"/>
    </row>
    <row r="120" spans="1:14" s="37" customFormat="1" ht="22.5" customHeight="1">
      <c r="A120" s="30">
        <v>7049</v>
      </c>
      <c r="B120" s="11" t="s">
        <v>73</v>
      </c>
      <c r="C120" s="27">
        <v>37400000</v>
      </c>
      <c r="D120" s="23">
        <f>'CK- TH Q2'!D120+'CK -TH Q1'!D120</f>
        <v>0</v>
      </c>
      <c r="E120" s="60">
        <f t="shared" si="1"/>
        <v>0</v>
      </c>
      <c r="F120" s="57"/>
      <c r="G120" s="67"/>
      <c r="H120" s="67"/>
      <c r="I120" s="67"/>
      <c r="J120" s="67"/>
      <c r="K120" s="67"/>
      <c r="L120" s="67"/>
      <c r="M120" s="67"/>
      <c r="N120" s="67"/>
    </row>
    <row r="121" spans="1:14" s="37" customFormat="1" ht="22.5" customHeight="1">
      <c r="A121" s="30">
        <v>7049</v>
      </c>
      <c r="B121" s="11" t="s">
        <v>74</v>
      </c>
      <c r="C121" s="27">
        <v>67000000</v>
      </c>
      <c r="D121" s="23">
        <f>'CK- TH Q2'!D121+'CK -TH Q1'!D121</f>
        <v>0</v>
      </c>
      <c r="E121" s="60">
        <f t="shared" si="1"/>
        <v>0</v>
      </c>
      <c r="F121" s="60"/>
      <c r="G121" s="67"/>
      <c r="H121" s="67"/>
      <c r="I121" s="67"/>
      <c r="J121" s="67"/>
      <c r="K121" s="67"/>
      <c r="L121" s="67"/>
      <c r="M121" s="67"/>
      <c r="N121" s="67"/>
    </row>
    <row r="122" spans="1:14" s="37" customFormat="1" ht="22.5" customHeight="1">
      <c r="A122" s="30">
        <v>7049</v>
      </c>
      <c r="B122" s="11" t="s">
        <v>75</v>
      </c>
      <c r="C122" s="27">
        <f>254702600-77400000-63502000</f>
        <v>113800600</v>
      </c>
      <c r="D122" s="23">
        <f>'CK- TH Q2'!D122+'CK -TH Q1'!D122</f>
        <v>15550000</v>
      </c>
      <c r="E122" s="60">
        <f t="shared" si="1"/>
        <v>0.1366425133083657</v>
      </c>
      <c r="F122" s="80"/>
      <c r="G122" s="67"/>
      <c r="H122" s="67">
        <v>383702600</v>
      </c>
      <c r="I122" s="67"/>
      <c r="J122" s="67"/>
      <c r="K122" s="67"/>
      <c r="L122" s="67"/>
      <c r="M122" s="67"/>
      <c r="N122" s="67"/>
    </row>
    <row r="123" spans="1:14" s="37" customFormat="1" ht="22.5" customHeight="1">
      <c r="A123" s="30">
        <v>7049</v>
      </c>
      <c r="B123" s="11" t="s">
        <v>76</v>
      </c>
      <c r="C123" s="27">
        <v>69202000</v>
      </c>
      <c r="D123" s="23">
        <f>'CK- TH Q2'!D123+'CK -TH Q1'!D123</f>
        <v>4930000</v>
      </c>
      <c r="E123" s="60">
        <f t="shared" si="1"/>
        <v>0.07124071558625474</v>
      </c>
      <c r="F123" s="80"/>
      <c r="G123" s="67"/>
      <c r="H123" s="67">
        <f>H122-C120-C121-C122-C123-C124</f>
        <v>0</v>
      </c>
      <c r="I123" s="67"/>
      <c r="J123" s="67"/>
      <c r="K123" s="67"/>
      <c r="L123" s="67"/>
      <c r="M123" s="67"/>
      <c r="N123" s="67"/>
    </row>
    <row r="124" spans="1:14" s="37" customFormat="1" ht="22.5" customHeight="1">
      <c r="A124" s="30">
        <v>7049</v>
      </c>
      <c r="B124" s="11" t="s">
        <v>76</v>
      </c>
      <c r="C124" s="27">
        <f>13300000+83000000</f>
        <v>96300000</v>
      </c>
      <c r="D124" s="23">
        <f>'CK- TH Q2'!D124+'CK -TH Q1'!D124</f>
        <v>0</v>
      </c>
      <c r="E124" s="60">
        <f t="shared" si="1"/>
        <v>0</v>
      </c>
      <c r="F124" s="80"/>
      <c r="G124" s="67"/>
      <c r="H124" s="67"/>
      <c r="I124" s="67"/>
      <c r="J124" s="67"/>
      <c r="K124" s="67"/>
      <c r="L124" s="67"/>
      <c r="M124" s="67"/>
      <c r="N124" s="67"/>
    </row>
    <row r="125" spans="1:14" s="37" customFormat="1" ht="22.5" customHeight="1">
      <c r="A125" s="18">
        <v>7750</v>
      </c>
      <c r="B125" s="18" t="s">
        <v>65</v>
      </c>
      <c r="C125" s="13">
        <f>SUM(C126:C130)</f>
        <v>120438000</v>
      </c>
      <c r="D125" s="13">
        <f>SUM(D126:D130)</f>
        <v>27137166</v>
      </c>
      <c r="E125" s="59"/>
      <c r="F125" s="59">
        <f>G125/D125</f>
        <v>5.770499395552211</v>
      </c>
      <c r="G125" s="67">
        <f>'CK- TH Q2'!G125+'CK -TH Q1'!G125</f>
        <v>156595000</v>
      </c>
      <c r="H125" s="67"/>
      <c r="I125" s="67"/>
      <c r="J125" s="67"/>
      <c r="K125" s="67"/>
      <c r="L125" s="67"/>
      <c r="M125" s="67"/>
      <c r="N125" s="67"/>
    </row>
    <row r="126" spans="1:14" s="37" customFormat="1" ht="22.5" customHeight="1">
      <c r="A126" s="11">
        <v>7756</v>
      </c>
      <c r="B126" s="11" t="s">
        <v>92</v>
      </c>
      <c r="C126" s="27">
        <v>5888000</v>
      </c>
      <c r="D126" s="23">
        <f>'CK- TH Q2'!D126+'CK -TH Q1'!D126</f>
        <v>543400</v>
      </c>
      <c r="E126" s="60">
        <f t="shared" si="1"/>
        <v>0.09228940217391304</v>
      </c>
      <c r="F126" s="60"/>
      <c r="G126" s="67"/>
      <c r="H126" s="67"/>
      <c r="I126" s="67"/>
      <c r="J126" s="67"/>
      <c r="K126" s="67"/>
      <c r="L126" s="67"/>
      <c r="M126" s="67"/>
      <c r="N126" s="67"/>
    </row>
    <row r="127" spans="1:14" s="37" customFormat="1" ht="31.5" customHeight="1">
      <c r="A127" s="11">
        <v>7757</v>
      </c>
      <c r="B127" s="29" t="s">
        <v>139</v>
      </c>
      <c r="C127" s="27">
        <v>15000000</v>
      </c>
      <c r="D127" s="23">
        <f>'CK- TH Q2'!D127+'CK -TH Q1'!D127</f>
        <v>11156766</v>
      </c>
      <c r="E127" s="60">
        <f t="shared" si="1"/>
        <v>0.7437844</v>
      </c>
      <c r="F127" s="60"/>
      <c r="G127" s="67"/>
      <c r="H127" s="67"/>
      <c r="I127" s="67"/>
      <c r="J127" s="67"/>
      <c r="K127" s="67"/>
      <c r="L127" s="67"/>
      <c r="M127" s="67"/>
      <c r="N127" s="67"/>
    </row>
    <row r="128" spans="1:14" s="37" customFormat="1" ht="22.5" customHeight="1">
      <c r="A128" s="11">
        <v>7761</v>
      </c>
      <c r="B128" s="11" t="s">
        <v>123</v>
      </c>
      <c r="C128" s="27">
        <v>6000000</v>
      </c>
      <c r="D128" s="23">
        <f>'CK- TH Q2'!D128+'CK -TH Q1'!D128</f>
        <v>0</v>
      </c>
      <c r="E128" s="60">
        <f t="shared" si="1"/>
        <v>0</v>
      </c>
      <c r="F128" s="60"/>
      <c r="G128" s="67"/>
      <c r="H128" s="67"/>
      <c r="I128" s="67"/>
      <c r="J128" s="67"/>
      <c r="K128" s="67"/>
      <c r="L128" s="67"/>
      <c r="M128" s="67"/>
      <c r="N128" s="67"/>
    </row>
    <row r="129" spans="1:14" s="37" customFormat="1" ht="22.5" customHeight="1">
      <c r="A129" s="25">
        <v>7764</v>
      </c>
      <c r="B129" s="11" t="s">
        <v>77</v>
      </c>
      <c r="C129" s="27">
        <v>64050000</v>
      </c>
      <c r="D129" s="23">
        <f>'CK- TH Q2'!D129+'CK -TH Q1'!D129</f>
        <v>0</v>
      </c>
      <c r="E129" s="60">
        <f t="shared" si="1"/>
        <v>0</v>
      </c>
      <c r="F129" s="57"/>
      <c r="G129" s="67"/>
      <c r="H129" s="67"/>
      <c r="I129" s="67"/>
      <c r="J129" s="67"/>
      <c r="K129" s="67"/>
      <c r="L129" s="67"/>
      <c r="M129" s="67"/>
      <c r="N129" s="67"/>
    </row>
    <row r="130" spans="1:14" s="37" customFormat="1" ht="22.5" customHeight="1">
      <c r="A130" s="25">
        <v>7799</v>
      </c>
      <c r="B130" s="11" t="s">
        <v>76</v>
      </c>
      <c r="C130" s="27">
        <v>29500000</v>
      </c>
      <c r="D130" s="23">
        <f>'CK- TH Q2'!D130+'CK -TH Q1'!D130</f>
        <v>15437000</v>
      </c>
      <c r="E130" s="60">
        <f t="shared" si="1"/>
        <v>0.5232881355932203</v>
      </c>
      <c r="F130" s="60"/>
      <c r="G130" s="67"/>
      <c r="H130" s="67"/>
      <c r="I130" s="67"/>
      <c r="J130" s="67"/>
      <c r="K130" s="67"/>
      <c r="L130" s="67"/>
      <c r="M130" s="67"/>
      <c r="N130" s="67"/>
    </row>
    <row r="131" spans="1:14" s="37" customFormat="1" ht="35.25" customHeight="1">
      <c r="A131" s="31">
        <v>1.2</v>
      </c>
      <c r="B131" s="32" t="s">
        <v>5</v>
      </c>
      <c r="C131" s="33">
        <f>C132+C135+C137+C139+C141+C144+C150</f>
        <v>1043422000</v>
      </c>
      <c r="D131" s="33">
        <f>D132+D135+D137+D139+D141+D144+D150</f>
        <v>286684064</v>
      </c>
      <c r="E131" s="64"/>
      <c r="F131" s="64"/>
      <c r="G131" s="33">
        <f>G132+G135+G137+G139+G141+G144+G150</f>
        <v>271578832</v>
      </c>
      <c r="H131" s="67">
        <f>G131-C131</f>
        <v>-771843168</v>
      </c>
      <c r="I131" s="67"/>
      <c r="J131" s="67"/>
      <c r="K131" s="67"/>
      <c r="L131" s="67"/>
      <c r="M131" s="67"/>
      <c r="N131" s="67"/>
    </row>
    <row r="132" spans="1:14" s="37" customFormat="1" ht="22.5" customHeight="1">
      <c r="A132" s="18">
        <v>6100</v>
      </c>
      <c r="B132" s="28" t="s">
        <v>35</v>
      </c>
      <c r="C132" s="33">
        <f>SUM(C133:C134)</f>
        <v>321285280</v>
      </c>
      <c r="D132" s="33">
        <f>SUM(D133:D134)</f>
        <v>106253024</v>
      </c>
      <c r="E132" s="60">
        <f t="shared" si="1"/>
        <v>0.33071239367082117</v>
      </c>
      <c r="F132" s="59"/>
      <c r="G132" s="67">
        <f>'CK- TH Q2'!G132+'CK -TH Q1'!G132</f>
        <v>115661142</v>
      </c>
      <c r="H132" s="67"/>
      <c r="I132" s="67"/>
      <c r="J132" s="67"/>
      <c r="K132" s="67"/>
      <c r="L132" s="67"/>
      <c r="M132" s="67"/>
      <c r="N132" s="67"/>
    </row>
    <row r="133" spans="1:14" s="37" customFormat="1" ht="22.5" customHeight="1">
      <c r="A133" s="11">
        <v>6105</v>
      </c>
      <c r="B133" s="11" t="s">
        <v>78</v>
      </c>
      <c r="C133" s="12">
        <v>281285280</v>
      </c>
      <c r="D133" s="23">
        <f>'CK- TH Q2'!D133+'CK -TH Q1'!D133</f>
        <v>106253024</v>
      </c>
      <c r="E133" s="60">
        <f t="shared" si="1"/>
        <v>0.3777411459284325</v>
      </c>
      <c r="F133" s="64"/>
      <c r="G133" s="67"/>
      <c r="H133" s="67"/>
      <c r="I133" s="67"/>
      <c r="J133" s="67"/>
      <c r="K133" s="67"/>
      <c r="L133" s="67"/>
      <c r="M133" s="67"/>
      <c r="N133" s="67"/>
    </row>
    <row r="134" spans="1:14" s="37" customFormat="1" ht="22.5" customHeight="1">
      <c r="A134" s="11">
        <v>6149</v>
      </c>
      <c r="B134" s="11" t="s">
        <v>99</v>
      </c>
      <c r="C134" s="12">
        <v>40000000</v>
      </c>
      <c r="D134" s="23">
        <f>'CK- TH Q2'!D134+'CK -TH Q1'!D134</f>
        <v>0</v>
      </c>
      <c r="E134" s="60">
        <f t="shared" si="1"/>
        <v>0</v>
      </c>
      <c r="F134" s="64"/>
      <c r="G134" s="67"/>
      <c r="H134" s="67"/>
      <c r="I134" s="67"/>
      <c r="J134" s="67"/>
      <c r="K134" s="67"/>
      <c r="L134" s="67"/>
      <c r="M134" s="67"/>
      <c r="N134" s="67"/>
    </row>
    <row r="135" spans="1:14" s="37" customFormat="1" ht="22.5" customHeight="1">
      <c r="A135" s="18">
        <v>6400</v>
      </c>
      <c r="B135" s="44" t="s">
        <v>79</v>
      </c>
      <c r="C135" s="13">
        <f>SUM(C136:C136)</f>
        <v>56736720</v>
      </c>
      <c r="D135" s="13">
        <f>SUM(D136:D136)</f>
        <v>45487040</v>
      </c>
      <c r="E135" s="59"/>
      <c r="F135" s="59">
        <f>G135/D135</f>
        <v>0.8329337323334295</v>
      </c>
      <c r="G135" s="67">
        <f>'CK- TH Q2'!G135+'CK -TH Q1'!G135</f>
        <v>37887690</v>
      </c>
      <c r="H135" s="67"/>
      <c r="I135" s="67"/>
      <c r="J135" s="67"/>
      <c r="K135" s="67"/>
      <c r="L135" s="67"/>
      <c r="M135" s="67"/>
      <c r="N135" s="67"/>
    </row>
    <row r="136" spans="1:14" s="37" customFormat="1" ht="22.5" customHeight="1">
      <c r="A136" s="11">
        <v>6449</v>
      </c>
      <c r="B136" s="11" t="s">
        <v>124</v>
      </c>
      <c r="C136" s="27">
        <v>56736720</v>
      </c>
      <c r="D136" s="23">
        <f>'CK- TH Q2'!D136+'CK -TH Q1'!D136</f>
        <v>45487040</v>
      </c>
      <c r="E136" s="60">
        <f t="shared" si="1"/>
        <v>0.8017213543539352</v>
      </c>
      <c r="F136" s="80"/>
      <c r="G136" s="67"/>
      <c r="H136" s="67"/>
      <c r="I136" s="67"/>
      <c r="J136" s="67"/>
      <c r="K136" s="67"/>
      <c r="L136" s="67"/>
      <c r="M136" s="67"/>
      <c r="N136" s="67"/>
    </row>
    <row r="137" spans="1:14" s="37" customFormat="1" ht="22.5" customHeight="1">
      <c r="A137" s="45" t="s">
        <v>85</v>
      </c>
      <c r="B137" s="18" t="s">
        <v>86</v>
      </c>
      <c r="C137" s="13">
        <f>SUM(C138)</f>
        <v>30000000</v>
      </c>
      <c r="D137" s="13">
        <f>SUM(D138)</f>
        <v>0</v>
      </c>
      <c r="E137" s="59"/>
      <c r="F137" s="59"/>
      <c r="G137" s="67">
        <f>'CK- TH Q2'!G137+'CK -TH Q1'!G137</f>
        <v>3080000</v>
      </c>
      <c r="H137" s="67"/>
      <c r="I137" s="67"/>
      <c r="J137" s="67"/>
      <c r="K137" s="67"/>
      <c r="L137" s="67"/>
      <c r="M137" s="67"/>
      <c r="N137" s="67"/>
    </row>
    <row r="138" spans="1:14" s="37" customFormat="1" ht="22.5" customHeight="1">
      <c r="A138" s="11">
        <v>6758</v>
      </c>
      <c r="B138" s="11" t="s">
        <v>80</v>
      </c>
      <c r="C138" s="74">
        <v>30000000</v>
      </c>
      <c r="D138" s="23">
        <f>'CK- TH Q2'!D138+'CK -TH Q1'!D138</f>
        <v>0</v>
      </c>
      <c r="E138" s="60">
        <f>(D138/C138)</f>
        <v>0</v>
      </c>
      <c r="F138" s="57"/>
      <c r="G138" s="67"/>
      <c r="H138" s="67"/>
      <c r="I138" s="67"/>
      <c r="J138" s="67"/>
      <c r="K138" s="67"/>
      <c r="L138" s="67"/>
      <c r="M138" s="67"/>
      <c r="N138" s="67"/>
    </row>
    <row r="139" spans="1:14" s="52" customFormat="1" ht="22.5" customHeight="1">
      <c r="A139" s="18">
        <v>6900</v>
      </c>
      <c r="B139" s="18" t="s">
        <v>66</v>
      </c>
      <c r="C139" s="50">
        <f>C140</f>
        <v>5000000</v>
      </c>
      <c r="D139" s="51">
        <f>D140</f>
        <v>0</v>
      </c>
      <c r="E139" s="59"/>
      <c r="F139" s="59"/>
      <c r="G139" s="67">
        <f>'CK- TH Q2'!G139+'CK -TH Q1'!G139</f>
        <v>0</v>
      </c>
      <c r="H139" s="69"/>
      <c r="I139" s="69"/>
      <c r="J139" s="69"/>
      <c r="K139" s="69"/>
      <c r="L139" s="69"/>
      <c r="M139" s="69"/>
      <c r="N139" s="69"/>
    </row>
    <row r="140" spans="1:14" s="37" customFormat="1" ht="22.5" customHeight="1">
      <c r="A140" s="11">
        <v>6905</v>
      </c>
      <c r="B140" s="11" t="s">
        <v>125</v>
      </c>
      <c r="C140" s="27">
        <v>5000000</v>
      </c>
      <c r="D140" s="23">
        <f>'CK- TH Q2'!D140+'CK -TH Q1'!D140</f>
        <v>0</v>
      </c>
      <c r="E140" s="60">
        <f>(D140/C140)</f>
        <v>0</v>
      </c>
      <c r="F140" s="57"/>
      <c r="G140" s="67"/>
      <c r="H140" s="67"/>
      <c r="I140" s="67"/>
      <c r="J140" s="67"/>
      <c r="K140" s="67"/>
      <c r="L140" s="67"/>
      <c r="M140" s="67"/>
      <c r="N140" s="67"/>
    </row>
    <row r="141" spans="1:14" s="37" customFormat="1" ht="22.5" customHeight="1">
      <c r="A141" s="18">
        <v>7000</v>
      </c>
      <c r="B141" s="18" t="s">
        <v>81</v>
      </c>
      <c r="C141" s="13">
        <f>C142+C143</f>
        <v>11800000</v>
      </c>
      <c r="D141" s="13">
        <f>D142+D143</f>
        <v>0</v>
      </c>
      <c r="E141" s="59"/>
      <c r="F141" s="59"/>
      <c r="G141" s="67">
        <f>'CK- TH Q2'!G141+'CK -TH Q1'!G141</f>
        <v>0</v>
      </c>
      <c r="H141" s="67"/>
      <c r="I141" s="67"/>
      <c r="J141" s="67"/>
      <c r="K141" s="67"/>
      <c r="L141" s="67"/>
      <c r="M141" s="67"/>
      <c r="N141" s="67"/>
    </row>
    <row r="142" spans="1:14" s="37" customFormat="1" ht="22.5" customHeight="1">
      <c r="A142" s="11">
        <v>7004</v>
      </c>
      <c r="B142" s="11" t="s">
        <v>82</v>
      </c>
      <c r="C142" s="27">
        <v>1800000</v>
      </c>
      <c r="D142" s="23">
        <f>'CK- TH Q2'!D142+'CK -TH Q1'!D142</f>
        <v>0</v>
      </c>
      <c r="E142" s="60">
        <f>(D142/C142)</f>
        <v>0</v>
      </c>
      <c r="F142" s="57"/>
      <c r="G142" s="67"/>
      <c r="H142" s="67"/>
      <c r="I142" s="67"/>
      <c r="J142" s="67"/>
      <c r="K142" s="67"/>
      <c r="L142" s="67"/>
      <c r="M142" s="67"/>
      <c r="N142" s="67"/>
    </row>
    <row r="143" spans="1:14" s="37" customFormat="1" ht="22.5" customHeight="1">
      <c r="A143" s="11">
        <v>7049</v>
      </c>
      <c r="B143" s="11" t="s">
        <v>76</v>
      </c>
      <c r="C143" s="27">
        <v>10000000</v>
      </c>
      <c r="D143" s="23">
        <f>'CK- TH Q2'!D143+'CK -TH Q1'!D143</f>
        <v>0</v>
      </c>
      <c r="E143" s="60">
        <f>(D143/C143)</f>
        <v>0</v>
      </c>
      <c r="F143" s="57"/>
      <c r="G143" s="67"/>
      <c r="H143" s="67"/>
      <c r="I143" s="67"/>
      <c r="J143" s="67"/>
      <c r="K143" s="67"/>
      <c r="L143" s="67"/>
      <c r="M143" s="67"/>
      <c r="N143" s="67"/>
    </row>
    <row r="144" spans="1:14" s="37" customFormat="1" ht="22.5" customHeight="1">
      <c r="A144" s="18">
        <v>7750</v>
      </c>
      <c r="B144" s="18" t="s">
        <v>65</v>
      </c>
      <c r="C144" s="13">
        <f>SUM(C145:C149)</f>
        <v>168600000</v>
      </c>
      <c r="D144" s="13">
        <f>SUM(D145:D149)</f>
        <v>134944000</v>
      </c>
      <c r="E144" s="59"/>
      <c r="F144" s="59">
        <f>G144/D144</f>
        <v>0.851834835190894</v>
      </c>
      <c r="G144" s="67">
        <f>'CK- TH Q2'!G144+'CK -TH Q1'!G144</f>
        <v>114950000</v>
      </c>
      <c r="H144" s="67"/>
      <c r="I144" s="67"/>
      <c r="J144" s="67"/>
      <c r="K144" s="67"/>
      <c r="L144" s="67"/>
      <c r="M144" s="67"/>
      <c r="N144" s="67"/>
    </row>
    <row r="145" spans="1:14" s="37" customFormat="1" ht="36.75" customHeight="1">
      <c r="A145" s="11">
        <v>7753</v>
      </c>
      <c r="B145" s="29" t="s">
        <v>137</v>
      </c>
      <c r="C145" s="27">
        <v>45000000</v>
      </c>
      <c r="D145" s="13">
        <v>38944000</v>
      </c>
      <c r="E145" s="59"/>
      <c r="F145" s="59"/>
      <c r="G145" s="67"/>
      <c r="H145" s="67"/>
      <c r="I145" s="67"/>
      <c r="J145" s="67"/>
      <c r="K145" s="67"/>
      <c r="L145" s="67"/>
      <c r="M145" s="67"/>
      <c r="N145" s="67"/>
    </row>
    <row r="146" spans="1:14" s="37" customFormat="1" ht="22.5" customHeight="1">
      <c r="A146" s="11">
        <v>7799</v>
      </c>
      <c r="B146" s="11" t="s">
        <v>126</v>
      </c>
      <c r="C146" s="27">
        <v>100000000</v>
      </c>
      <c r="D146" s="23">
        <f>'CK- TH Q2'!D146+'CK -TH Q1'!D146</f>
        <v>96000000</v>
      </c>
      <c r="E146" s="60">
        <f>(D146/C146)</f>
        <v>0.96</v>
      </c>
      <c r="F146" s="80"/>
      <c r="G146" s="67"/>
      <c r="H146" s="67"/>
      <c r="I146" s="67"/>
      <c r="J146" s="67"/>
      <c r="K146" s="67"/>
      <c r="L146" s="67"/>
      <c r="M146" s="67"/>
      <c r="N146" s="67"/>
    </row>
    <row r="147" spans="1:14" s="37" customFormat="1" ht="22.5" customHeight="1">
      <c r="A147" s="11">
        <v>7799</v>
      </c>
      <c r="B147" s="11" t="s">
        <v>83</v>
      </c>
      <c r="C147" s="27">
        <v>10000000</v>
      </c>
      <c r="D147" s="23">
        <f>'CK- TH Q2'!D147+'CK -TH Q1'!D147</f>
        <v>0</v>
      </c>
      <c r="E147" s="60">
        <f>(D147/C147)</f>
        <v>0</v>
      </c>
      <c r="F147" s="80"/>
      <c r="G147" s="67"/>
      <c r="H147" s="67"/>
      <c r="I147" s="67"/>
      <c r="J147" s="67"/>
      <c r="K147" s="67"/>
      <c r="L147" s="67"/>
      <c r="M147" s="67"/>
      <c r="N147" s="67"/>
    </row>
    <row r="148" spans="1:14" s="37" customFormat="1" ht="22.5" customHeight="1">
      <c r="A148" s="11">
        <v>7799</v>
      </c>
      <c r="B148" s="11" t="s">
        <v>84</v>
      </c>
      <c r="C148" s="27">
        <v>10000000</v>
      </c>
      <c r="D148" s="23">
        <f>'CK- TH Q2'!D148+'CK -TH Q1'!D148</f>
        <v>0</v>
      </c>
      <c r="E148" s="60">
        <f>(D148/C148)</f>
        <v>0</v>
      </c>
      <c r="F148" s="80"/>
      <c r="G148" s="67"/>
      <c r="H148" s="67"/>
      <c r="I148" s="67"/>
      <c r="J148" s="67"/>
      <c r="K148" s="67"/>
      <c r="L148" s="67"/>
      <c r="M148" s="67"/>
      <c r="N148" s="67"/>
    </row>
    <row r="149" spans="1:14" s="37" customFormat="1" ht="23.25" customHeight="1">
      <c r="A149" s="11">
        <v>7799</v>
      </c>
      <c r="B149" s="11" t="s">
        <v>131</v>
      </c>
      <c r="C149" s="27">
        <v>3600000</v>
      </c>
      <c r="D149" s="23">
        <f>'CK- TH Q2'!D149+'CK -TH Q1'!D149</f>
        <v>0</v>
      </c>
      <c r="E149" s="60">
        <f>(D149/C149)</f>
        <v>0</v>
      </c>
      <c r="F149" s="80"/>
      <c r="G149" s="67"/>
      <c r="H149" s="67"/>
      <c r="I149" s="67"/>
      <c r="J149" s="67"/>
      <c r="K149" s="67"/>
      <c r="L149" s="67"/>
      <c r="M149" s="67"/>
      <c r="N149" s="67"/>
    </row>
    <row r="150" spans="1:14" s="37" customFormat="1" ht="22.5" customHeight="1">
      <c r="A150" s="46">
        <v>6950</v>
      </c>
      <c r="B150" s="46" t="s">
        <v>127</v>
      </c>
      <c r="C150" s="13">
        <f>SUM(C151:C151)</f>
        <v>450000000</v>
      </c>
      <c r="D150" s="13"/>
      <c r="E150" s="59"/>
      <c r="F150" s="57"/>
      <c r="G150" s="67">
        <f>'CK- TH Q2'!G150+'CK -TH Q1'!G150</f>
        <v>0</v>
      </c>
      <c r="H150" s="67"/>
      <c r="I150" s="67"/>
      <c r="J150" s="67"/>
      <c r="K150" s="67"/>
      <c r="L150" s="67"/>
      <c r="M150" s="67"/>
      <c r="N150" s="67"/>
    </row>
    <row r="151" spans="1:14" s="37" customFormat="1" ht="22.5" customHeight="1">
      <c r="A151" s="11">
        <v>6954</v>
      </c>
      <c r="B151" s="11" t="s">
        <v>128</v>
      </c>
      <c r="C151" s="27">
        <v>450000000</v>
      </c>
      <c r="D151" s="23">
        <f>'CK- TH Q2'!D151+'CK -TH Q1'!D151</f>
        <v>0</v>
      </c>
      <c r="E151" s="60">
        <f>(D151/C151)</f>
        <v>0</v>
      </c>
      <c r="F151" s="57"/>
      <c r="G151" s="67"/>
      <c r="H151" s="67"/>
      <c r="I151" s="67"/>
      <c r="J151" s="67"/>
      <c r="K151" s="67"/>
      <c r="L151" s="67"/>
      <c r="M151" s="67"/>
      <c r="N151" s="67"/>
    </row>
    <row r="152" ht="15.75">
      <c r="A152" s="34"/>
    </row>
    <row r="153" spans="1:6" ht="15.75">
      <c r="A153" s="153"/>
      <c r="D153" s="154" t="s">
        <v>154</v>
      </c>
      <c r="E153" s="154"/>
      <c r="F153" s="154"/>
    </row>
    <row r="154" spans="1:6" ht="15.75">
      <c r="A154" s="153"/>
      <c r="D154" s="155" t="s">
        <v>29</v>
      </c>
      <c r="E154" s="155"/>
      <c r="F154" s="155"/>
    </row>
    <row r="155" spans="1:6" ht="15.75">
      <c r="A155" s="40"/>
      <c r="D155" s="171" t="s">
        <v>113</v>
      </c>
      <c r="E155" s="171"/>
      <c r="F155" s="171"/>
    </row>
    <row r="159" spans="4:6" ht="15.75">
      <c r="D159" s="151"/>
      <c r="E159" s="151"/>
      <c r="F159" s="151"/>
    </row>
  </sheetData>
  <sheetProtection/>
  <mergeCells count="23">
    <mergeCell ref="A1:F1"/>
    <mergeCell ref="A2:B2"/>
    <mergeCell ref="C2:F2"/>
    <mergeCell ref="A3:B3"/>
    <mergeCell ref="C3:F3"/>
    <mergeCell ref="C4:F4"/>
    <mergeCell ref="F11:F12"/>
    <mergeCell ref="A5:F5"/>
    <mergeCell ref="A6:F6"/>
    <mergeCell ref="A7:F7"/>
    <mergeCell ref="A8:F8"/>
    <mergeCell ref="A9:F9"/>
    <mergeCell ref="A10:F10"/>
    <mergeCell ref="A153:A154"/>
    <mergeCell ref="D153:F153"/>
    <mergeCell ref="D154:F154"/>
    <mergeCell ref="D159:F159"/>
    <mergeCell ref="D155:F155"/>
    <mergeCell ref="A11:A12"/>
    <mergeCell ref="B11:B12"/>
    <mergeCell ref="C11:C12"/>
    <mergeCell ref="D11:D12"/>
    <mergeCell ref="E11:E12"/>
  </mergeCells>
  <printOptions/>
  <pageMargins left="0.7" right="0.26" top="0.53" bottom="0.44"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159"/>
  <sheetViews>
    <sheetView zoomScalePageLayoutView="0" workbookViewId="0" topLeftCell="A1">
      <selection activeCell="D63" sqref="D63"/>
    </sheetView>
  </sheetViews>
  <sheetFormatPr defaultColWidth="9.00390625" defaultRowHeight="15.75"/>
  <cols>
    <col min="1" max="1" width="5.125" style="14" customWidth="1"/>
    <col min="2" max="2" width="31.00390625" style="14" customWidth="1"/>
    <col min="3" max="3" width="15.125" style="14" customWidth="1"/>
    <col min="4" max="4" width="15.125" style="35" customWidth="1"/>
    <col min="5" max="5" width="13.125" style="65" customWidth="1"/>
    <col min="6" max="6" width="10.25390625" style="96" customWidth="1"/>
    <col min="7" max="7" width="21.375" style="84" customWidth="1"/>
    <col min="8" max="8" width="17.125" style="66" bestFit="1" customWidth="1"/>
    <col min="9" max="9" width="16.75390625" style="66" customWidth="1"/>
    <col min="10" max="14" width="9.00390625" style="66" customWidth="1"/>
    <col min="15" max="16384" width="9.00390625" style="36" customWidth="1"/>
  </cols>
  <sheetData>
    <row r="1" spans="1:6" ht="22.5" customHeight="1">
      <c r="A1" s="168" t="s">
        <v>104</v>
      </c>
      <c r="B1" s="168"/>
      <c r="C1" s="168"/>
      <c r="D1" s="168"/>
      <c r="E1" s="168"/>
      <c r="F1" s="168"/>
    </row>
    <row r="2" spans="1:6" ht="21.75" customHeight="1">
      <c r="A2" s="155" t="s">
        <v>114</v>
      </c>
      <c r="B2" s="155"/>
      <c r="C2" s="155" t="s">
        <v>105</v>
      </c>
      <c r="D2" s="155"/>
      <c r="E2" s="155"/>
      <c r="F2" s="155"/>
    </row>
    <row r="3" spans="1:6" ht="21.75" customHeight="1">
      <c r="A3" s="155" t="s">
        <v>89</v>
      </c>
      <c r="B3" s="155"/>
      <c r="C3" s="166" t="s">
        <v>111</v>
      </c>
      <c r="D3" s="155"/>
      <c r="E3" s="155"/>
      <c r="F3" s="155"/>
    </row>
    <row r="4" spans="1:6" ht="21.75" customHeight="1">
      <c r="A4" s="41"/>
      <c r="B4" s="41"/>
      <c r="C4" s="167" t="s">
        <v>155</v>
      </c>
      <c r="D4" s="167"/>
      <c r="E4" s="167"/>
      <c r="F4" s="167"/>
    </row>
    <row r="5" spans="1:6" ht="27.75" customHeight="1">
      <c r="A5" s="169" t="s">
        <v>146</v>
      </c>
      <c r="B5" s="170"/>
      <c r="C5" s="170"/>
      <c r="D5" s="170"/>
      <c r="E5" s="170"/>
      <c r="F5" s="170"/>
    </row>
    <row r="6" spans="1:6" ht="15.75">
      <c r="A6" s="157" t="s">
        <v>25</v>
      </c>
      <c r="B6" s="157"/>
      <c r="C6" s="157"/>
      <c r="D6" s="157"/>
      <c r="E6" s="157"/>
      <c r="F6" s="157"/>
    </row>
    <row r="7" spans="1:6" ht="39.75" customHeight="1">
      <c r="A7" s="162" t="s">
        <v>108</v>
      </c>
      <c r="B7" s="163"/>
      <c r="C7" s="163"/>
      <c r="D7" s="163"/>
      <c r="E7" s="163"/>
      <c r="F7" s="163"/>
    </row>
    <row r="8" spans="1:6" ht="66" customHeight="1">
      <c r="A8" s="164" t="s">
        <v>109</v>
      </c>
      <c r="B8" s="165"/>
      <c r="C8" s="165"/>
      <c r="D8" s="165"/>
      <c r="E8" s="165"/>
      <c r="F8" s="165"/>
    </row>
    <row r="9" spans="1:6" ht="29.25" customHeight="1">
      <c r="A9" s="162" t="s">
        <v>148</v>
      </c>
      <c r="B9" s="162"/>
      <c r="C9" s="162"/>
      <c r="D9" s="162"/>
      <c r="E9" s="162"/>
      <c r="F9" s="162"/>
    </row>
    <row r="10" spans="1:6" ht="15.75">
      <c r="A10" s="158" t="s">
        <v>87</v>
      </c>
      <c r="B10" s="158"/>
      <c r="C10" s="158"/>
      <c r="D10" s="158"/>
      <c r="E10" s="158"/>
      <c r="F10" s="158"/>
    </row>
    <row r="11" spans="1:6" ht="15.75" customHeight="1">
      <c r="A11" s="152" t="s">
        <v>2</v>
      </c>
      <c r="B11" s="152" t="s">
        <v>3</v>
      </c>
      <c r="C11" s="152" t="s">
        <v>26</v>
      </c>
      <c r="D11" s="152" t="s">
        <v>147</v>
      </c>
      <c r="E11" s="159" t="s">
        <v>106</v>
      </c>
      <c r="F11" s="172" t="s">
        <v>107</v>
      </c>
    </row>
    <row r="12" spans="1:6" ht="79.5" customHeight="1">
      <c r="A12" s="152"/>
      <c r="B12" s="152"/>
      <c r="C12" s="152"/>
      <c r="D12" s="152"/>
      <c r="E12" s="159"/>
      <c r="F12" s="173"/>
    </row>
    <row r="13" spans="1:6" ht="22.5" customHeight="1" hidden="1">
      <c r="A13" s="15">
        <v>1</v>
      </c>
      <c r="B13" s="16" t="s">
        <v>9</v>
      </c>
      <c r="C13" s="15"/>
      <c r="D13" s="15"/>
      <c r="E13" s="57"/>
      <c r="F13" s="90"/>
    </row>
    <row r="14" spans="1:6" ht="22.5" customHeight="1" hidden="1">
      <c r="A14" s="15">
        <v>1.1</v>
      </c>
      <c r="B14" s="16" t="s">
        <v>10</v>
      </c>
      <c r="C14" s="15"/>
      <c r="D14" s="15"/>
      <c r="E14" s="57"/>
      <c r="F14" s="90"/>
    </row>
    <row r="15" spans="1:6" ht="22.5" customHeight="1" hidden="1">
      <c r="A15" s="15"/>
      <c r="B15" s="16" t="s">
        <v>11</v>
      </c>
      <c r="C15" s="15"/>
      <c r="D15" s="15"/>
      <c r="E15" s="57"/>
      <c r="F15" s="90"/>
    </row>
    <row r="16" spans="1:6" ht="22.5" customHeight="1" hidden="1">
      <c r="A16" s="15"/>
      <c r="B16" s="16" t="s">
        <v>12</v>
      </c>
      <c r="C16" s="15"/>
      <c r="D16" s="15"/>
      <c r="E16" s="57"/>
      <c r="F16" s="90"/>
    </row>
    <row r="17" spans="1:6" ht="22.5" customHeight="1" hidden="1">
      <c r="A17" s="15"/>
      <c r="B17" s="16" t="s">
        <v>27</v>
      </c>
      <c r="C17" s="15"/>
      <c r="D17" s="15"/>
      <c r="E17" s="57"/>
      <c r="F17" s="90"/>
    </row>
    <row r="18" spans="1:6" ht="22.5" customHeight="1" hidden="1">
      <c r="A18" s="15">
        <v>1.2</v>
      </c>
      <c r="B18" s="16" t="s">
        <v>13</v>
      </c>
      <c r="C18" s="15"/>
      <c r="D18" s="15"/>
      <c r="E18" s="57"/>
      <c r="F18" s="90"/>
    </row>
    <row r="19" spans="1:6" ht="22.5" customHeight="1" hidden="1">
      <c r="A19" s="15"/>
      <c r="B19" s="16" t="s">
        <v>14</v>
      </c>
      <c r="C19" s="15"/>
      <c r="D19" s="15"/>
      <c r="E19" s="57"/>
      <c r="F19" s="90"/>
    </row>
    <row r="20" spans="1:6" ht="22.5" customHeight="1" hidden="1">
      <c r="A20" s="15"/>
      <c r="B20" s="16" t="s">
        <v>15</v>
      </c>
      <c r="C20" s="15"/>
      <c r="D20" s="15"/>
      <c r="E20" s="57"/>
      <c r="F20" s="90"/>
    </row>
    <row r="21" spans="1:6" ht="22.5" customHeight="1" hidden="1">
      <c r="A21" s="15"/>
      <c r="B21" s="16" t="s">
        <v>27</v>
      </c>
      <c r="C21" s="15"/>
      <c r="D21" s="15"/>
      <c r="E21" s="57"/>
      <c r="F21" s="90"/>
    </row>
    <row r="22" spans="1:6" ht="22.5" customHeight="1" hidden="1">
      <c r="A22" s="15">
        <v>2</v>
      </c>
      <c r="B22" s="16" t="s">
        <v>16</v>
      </c>
      <c r="C22" s="15"/>
      <c r="D22" s="15"/>
      <c r="E22" s="57"/>
      <c r="F22" s="90"/>
    </row>
    <row r="23" spans="1:6" ht="22.5" customHeight="1" hidden="1">
      <c r="A23" s="15">
        <v>2.1</v>
      </c>
      <c r="B23" s="16" t="s">
        <v>28</v>
      </c>
      <c r="C23" s="15"/>
      <c r="D23" s="15"/>
      <c r="E23" s="57"/>
      <c r="F23" s="90"/>
    </row>
    <row r="24" spans="1:6" ht="22.5" customHeight="1" hidden="1">
      <c r="A24" s="15" t="s">
        <v>17</v>
      </c>
      <c r="B24" s="16" t="s">
        <v>18</v>
      </c>
      <c r="C24" s="15"/>
      <c r="D24" s="15"/>
      <c r="E24" s="57"/>
      <c r="F24" s="90"/>
    </row>
    <row r="25" spans="1:6" ht="22.5" customHeight="1" hidden="1">
      <c r="A25" s="15" t="s">
        <v>19</v>
      </c>
      <c r="B25" s="16" t="s">
        <v>6</v>
      </c>
      <c r="C25" s="15"/>
      <c r="D25" s="15"/>
      <c r="E25" s="57"/>
      <c r="F25" s="90"/>
    </row>
    <row r="26" spans="1:6" ht="22.5" customHeight="1" hidden="1">
      <c r="A26" s="15">
        <v>2.2</v>
      </c>
      <c r="B26" s="16" t="s">
        <v>4</v>
      </c>
      <c r="C26" s="15"/>
      <c r="D26" s="15"/>
      <c r="E26" s="57"/>
      <c r="F26" s="90"/>
    </row>
    <row r="27" spans="1:6" ht="22.5" customHeight="1" hidden="1">
      <c r="A27" s="15" t="s">
        <v>17</v>
      </c>
      <c r="B27" s="16" t="s">
        <v>20</v>
      </c>
      <c r="C27" s="15"/>
      <c r="D27" s="15"/>
      <c r="E27" s="57"/>
      <c r="F27" s="90"/>
    </row>
    <row r="28" spans="1:6" ht="22.5" customHeight="1" hidden="1">
      <c r="A28" s="15" t="s">
        <v>19</v>
      </c>
      <c r="B28" s="16" t="s">
        <v>5</v>
      </c>
      <c r="C28" s="15"/>
      <c r="D28" s="15"/>
      <c r="E28" s="57"/>
      <c r="F28" s="90"/>
    </row>
    <row r="29" spans="1:6" ht="22.5" customHeight="1" hidden="1">
      <c r="A29" s="15">
        <v>3</v>
      </c>
      <c r="B29" s="16" t="s">
        <v>21</v>
      </c>
      <c r="C29" s="15"/>
      <c r="D29" s="15"/>
      <c r="E29" s="57"/>
      <c r="F29" s="90"/>
    </row>
    <row r="30" spans="1:6" ht="22.5" customHeight="1" hidden="1">
      <c r="A30" s="15">
        <v>3.1</v>
      </c>
      <c r="B30" s="16" t="s">
        <v>10</v>
      </c>
      <c r="C30" s="15"/>
      <c r="D30" s="15"/>
      <c r="E30" s="57"/>
      <c r="F30" s="90"/>
    </row>
    <row r="31" spans="1:6" ht="22.5" customHeight="1" hidden="1">
      <c r="A31" s="15"/>
      <c r="B31" s="16" t="s">
        <v>11</v>
      </c>
      <c r="C31" s="15"/>
      <c r="D31" s="15"/>
      <c r="E31" s="57"/>
      <c r="F31" s="90"/>
    </row>
    <row r="32" spans="1:6" ht="22.5" customHeight="1" hidden="1">
      <c r="A32" s="15"/>
      <c r="B32" s="16" t="s">
        <v>12</v>
      </c>
      <c r="C32" s="15"/>
      <c r="D32" s="15"/>
      <c r="E32" s="57"/>
      <c r="F32" s="90"/>
    </row>
    <row r="33" spans="1:6" ht="22.5" customHeight="1" hidden="1">
      <c r="A33" s="15"/>
      <c r="B33" s="16" t="s">
        <v>27</v>
      </c>
      <c r="C33" s="15"/>
      <c r="D33" s="15"/>
      <c r="E33" s="57"/>
      <c r="F33" s="90"/>
    </row>
    <row r="34" spans="1:6" ht="22.5" customHeight="1" hidden="1">
      <c r="A34" s="15">
        <v>3.2</v>
      </c>
      <c r="B34" s="16" t="s">
        <v>13</v>
      </c>
      <c r="C34" s="15"/>
      <c r="D34" s="15"/>
      <c r="E34" s="57"/>
      <c r="F34" s="90"/>
    </row>
    <row r="35" spans="1:6" ht="22.5" customHeight="1" hidden="1">
      <c r="A35" s="15"/>
      <c r="B35" s="16" t="s">
        <v>14</v>
      </c>
      <c r="C35" s="15"/>
      <c r="D35" s="15"/>
      <c r="E35" s="57"/>
      <c r="F35" s="90"/>
    </row>
    <row r="36" spans="1:6" ht="22.5" customHeight="1" hidden="1">
      <c r="A36" s="15"/>
      <c r="B36" s="16" t="s">
        <v>15</v>
      </c>
      <c r="C36" s="15"/>
      <c r="D36" s="15"/>
      <c r="E36" s="57"/>
      <c r="F36" s="90"/>
    </row>
    <row r="37" spans="1:6" ht="22.5" customHeight="1" hidden="1">
      <c r="A37" s="15"/>
      <c r="B37" s="16" t="s">
        <v>27</v>
      </c>
      <c r="C37" s="15"/>
      <c r="D37" s="15"/>
      <c r="E37" s="57"/>
      <c r="F37" s="90"/>
    </row>
    <row r="38" spans="1:14" s="37" customFormat="1" ht="22.5" customHeight="1">
      <c r="A38" s="47" t="s">
        <v>1</v>
      </c>
      <c r="B38" s="48" t="s">
        <v>22</v>
      </c>
      <c r="C38" s="17">
        <f>C39</f>
        <v>8070915000</v>
      </c>
      <c r="D38" s="17">
        <f>D39</f>
        <v>1734010104</v>
      </c>
      <c r="E38" s="56">
        <f>E39</f>
        <v>0.21484678056948933</v>
      </c>
      <c r="F38" s="93">
        <f>G38/D38</f>
        <v>1.1313051604917292</v>
      </c>
      <c r="G38" s="86">
        <f>G39+G60+G130</f>
        <v>1961694579</v>
      </c>
      <c r="H38" s="67">
        <v>1734010104</v>
      </c>
      <c r="I38" s="67">
        <f>H38-D38</f>
        <v>0</v>
      </c>
      <c r="J38" s="67"/>
      <c r="K38" s="67"/>
      <c r="L38" s="67"/>
      <c r="M38" s="67"/>
      <c r="N38" s="67"/>
    </row>
    <row r="39" spans="1:14" s="37" customFormat="1" ht="36" customHeight="1">
      <c r="A39" s="47">
        <v>1</v>
      </c>
      <c r="B39" s="48" t="s">
        <v>7</v>
      </c>
      <c r="C39" s="17">
        <f>C40+C61+C131</f>
        <v>8070915000</v>
      </c>
      <c r="D39" s="17">
        <f>D40+D61+D131</f>
        <v>1734010104</v>
      </c>
      <c r="E39" s="58">
        <f>D39/C39</f>
        <v>0.21484678056948933</v>
      </c>
      <c r="F39" s="93">
        <f>G39/D39</f>
        <v>1.1313051604917292</v>
      </c>
      <c r="G39" s="86">
        <f>G40+G61+G131</f>
        <v>1961694579</v>
      </c>
      <c r="H39" s="67"/>
      <c r="I39" s="67"/>
      <c r="J39" s="67"/>
      <c r="K39" s="67"/>
      <c r="L39" s="67"/>
      <c r="M39" s="67"/>
      <c r="N39" s="67"/>
    </row>
    <row r="40" spans="1:14" s="39" customFormat="1" ht="22.5" customHeight="1">
      <c r="A40" s="47">
        <v>1.1</v>
      </c>
      <c r="B40" s="48" t="s">
        <v>20</v>
      </c>
      <c r="C40" s="17">
        <f>C41+C44+C46+C51+C54+C59+C77+C81+C85+C90+C94+C100+C104+C111+C116+C125</f>
        <v>5930274000</v>
      </c>
      <c r="D40" s="17">
        <f>D41+D44+D46+D51+D54+D59+D77+D81+D85+D90+D94+D100+D104+D111+D116+D125</f>
        <v>1294388385</v>
      </c>
      <c r="E40" s="58">
        <f>D40/C40</f>
        <v>0.21826788863381355</v>
      </c>
      <c r="F40" s="93">
        <f>G40/D40</f>
        <v>1.33400200435204</v>
      </c>
      <c r="G40" s="86">
        <f>G41+G44+G46+G51+G54+G59+G77+G81+G85+G90+G94+G100+G104+G111+G116+G125</f>
        <v>1726716700</v>
      </c>
      <c r="H40" s="68"/>
      <c r="I40" s="68"/>
      <c r="J40" s="68"/>
      <c r="K40" s="68"/>
      <c r="L40" s="68"/>
      <c r="M40" s="68"/>
      <c r="N40" s="68"/>
    </row>
    <row r="41" spans="1:14" s="37" customFormat="1" ht="22.5" customHeight="1">
      <c r="A41" s="18">
        <v>6000</v>
      </c>
      <c r="B41" s="18" t="s">
        <v>35</v>
      </c>
      <c r="C41" s="19">
        <f>SUM(C42:C43)</f>
        <v>2235499200</v>
      </c>
      <c r="D41" s="38">
        <f>SUM(D42:D43)</f>
        <v>625436531</v>
      </c>
      <c r="E41" s="58">
        <f>D41/C41</f>
        <v>0.27977488473268075</v>
      </c>
      <c r="F41" s="91">
        <f>G41/D41</f>
        <v>1.290439980711648</v>
      </c>
      <c r="G41" s="85">
        <v>807088305</v>
      </c>
      <c r="H41" s="67"/>
      <c r="I41" s="67"/>
      <c r="J41" s="67"/>
      <c r="K41" s="67"/>
      <c r="L41" s="67"/>
      <c r="M41" s="67"/>
      <c r="N41" s="67"/>
    </row>
    <row r="42" spans="1:14" s="37" customFormat="1" ht="22.5" customHeight="1">
      <c r="A42" s="11">
        <v>6001</v>
      </c>
      <c r="B42" s="11" t="s">
        <v>30</v>
      </c>
      <c r="C42" s="20">
        <v>2235499200</v>
      </c>
      <c r="D42" s="71">
        <v>625436531</v>
      </c>
      <c r="E42" s="60">
        <f>(D42/C42)</f>
        <v>0.27977488473268075</v>
      </c>
      <c r="F42" s="92"/>
      <c r="G42" s="85"/>
      <c r="H42" s="67"/>
      <c r="I42" s="67"/>
      <c r="J42" s="67"/>
      <c r="K42" s="67"/>
      <c r="L42" s="67"/>
      <c r="M42" s="67"/>
      <c r="N42" s="67"/>
    </row>
    <row r="43" spans="1:14" s="37" customFormat="1" ht="22.5" customHeight="1">
      <c r="A43" s="11">
        <v>6003</v>
      </c>
      <c r="B43" s="11" t="s">
        <v>31</v>
      </c>
      <c r="C43" s="20"/>
      <c r="D43" s="71"/>
      <c r="E43" s="60"/>
      <c r="F43" s="92"/>
      <c r="G43" s="85"/>
      <c r="H43" s="67"/>
      <c r="I43" s="67"/>
      <c r="J43" s="67"/>
      <c r="K43" s="67"/>
      <c r="L43" s="67"/>
      <c r="M43" s="67"/>
      <c r="N43" s="67"/>
    </row>
    <row r="44" spans="1:14" s="39" customFormat="1" ht="33.75" customHeight="1">
      <c r="A44" s="21">
        <v>6050</v>
      </c>
      <c r="B44" s="24" t="s">
        <v>138</v>
      </c>
      <c r="C44" s="75">
        <f>C45</f>
        <v>365052000</v>
      </c>
      <c r="D44" s="97">
        <f>D45</f>
        <v>112709805</v>
      </c>
      <c r="E44" s="107">
        <f>E45</f>
        <v>0.30875</v>
      </c>
      <c r="F44" s="91"/>
      <c r="G44" s="87"/>
      <c r="H44" s="68"/>
      <c r="I44" s="68"/>
      <c r="J44" s="68"/>
      <c r="K44" s="68"/>
      <c r="L44" s="68"/>
      <c r="M44" s="68"/>
      <c r="N44" s="68"/>
    </row>
    <row r="45" spans="1:14" s="37" customFormat="1" ht="35.25" customHeight="1">
      <c r="A45" s="11">
        <v>6051</v>
      </c>
      <c r="B45" s="29" t="s">
        <v>138</v>
      </c>
      <c r="C45" s="20">
        <v>365052000</v>
      </c>
      <c r="D45" s="71">
        <v>112709805</v>
      </c>
      <c r="E45" s="60">
        <f>(D45/C45)</f>
        <v>0.30875</v>
      </c>
      <c r="F45" s="92"/>
      <c r="G45" s="85"/>
      <c r="H45" s="67"/>
      <c r="I45" s="67"/>
      <c r="J45" s="67"/>
      <c r="K45" s="67"/>
      <c r="L45" s="67"/>
      <c r="M45" s="67"/>
      <c r="N45" s="67"/>
    </row>
    <row r="46" spans="1:14" s="37" customFormat="1" ht="22.5" customHeight="1">
      <c r="A46" s="18">
        <v>6100</v>
      </c>
      <c r="B46" s="18" t="s">
        <v>36</v>
      </c>
      <c r="C46" s="19">
        <f>SUM(C47:C50)+1</f>
        <v>1308230786</v>
      </c>
      <c r="D46" s="38">
        <f>SUM(D47:D50)</f>
        <v>218709684</v>
      </c>
      <c r="E46" s="104">
        <f>SUM(E47:E50)</f>
        <v>0.6771414245536744</v>
      </c>
      <c r="F46" s="91">
        <f>G46/D46</f>
        <v>2.276803902290856</v>
      </c>
      <c r="G46" s="85">
        <v>497959062</v>
      </c>
      <c r="H46" s="67"/>
      <c r="I46" s="67"/>
      <c r="J46" s="67"/>
      <c r="K46" s="67"/>
      <c r="L46" s="67"/>
      <c r="M46" s="67"/>
      <c r="N46" s="67"/>
    </row>
    <row r="47" spans="1:14" s="37" customFormat="1" ht="22.5" customHeight="1">
      <c r="A47" s="11">
        <v>6101</v>
      </c>
      <c r="B47" s="11" t="s">
        <v>32</v>
      </c>
      <c r="C47" s="20">
        <v>47190000</v>
      </c>
      <c r="D47" s="71">
        <v>8010200</v>
      </c>
      <c r="E47" s="60">
        <f>(D47/C47)</f>
        <v>0.16974358974358975</v>
      </c>
      <c r="F47" s="92"/>
      <c r="G47" s="85"/>
      <c r="H47" s="67"/>
      <c r="I47" s="67"/>
      <c r="J47" s="67"/>
      <c r="K47" s="67"/>
      <c r="L47" s="67"/>
      <c r="M47" s="67"/>
      <c r="N47" s="67"/>
    </row>
    <row r="48" spans="1:14" s="37" customFormat="1" ht="22.5" customHeight="1">
      <c r="A48" s="11">
        <v>6112</v>
      </c>
      <c r="B48" s="11" t="s">
        <v>33</v>
      </c>
      <c r="C48" s="20">
        <v>814246243</v>
      </c>
      <c r="D48" s="71">
        <v>208062525</v>
      </c>
      <c r="E48" s="60">
        <f>(D48/C48)</f>
        <v>0.25552776790644643</v>
      </c>
      <c r="F48" s="92"/>
      <c r="G48" s="85"/>
      <c r="H48" s="67"/>
      <c r="I48" s="67"/>
      <c r="J48" s="67"/>
      <c r="K48" s="67"/>
      <c r="L48" s="67"/>
      <c r="M48" s="67"/>
      <c r="N48" s="67"/>
    </row>
    <row r="49" spans="1:14" s="37" customFormat="1" ht="22.5" customHeight="1">
      <c r="A49" s="11">
        <v>6113</v>
      </c>
      <c r="B49" s="11" t="s">
        <v>34</v>
      </c>
      <c r="C49" s="20">
        <v>7260000</v>
      </c>
      <c r="D49" s="71">
        <v>1815000</v>
      </c>
      <c r="E49" s="60">
        <f>(D49/C49)</f>
        <v>0.25</v>
      </c>
      <c r="F49" s="92"/>
      <c r="G49" s="85"/>
      <c r="H49" s="67"/>
      <c r="I49" s="67"/>
      <c r="J49" s="67"/>
      <c r="K49" s="67"/>
      <c r="L49" s="67"/>
      <c r="M49" s="67"/>
      <c r="N49" s="67"/>
    </row>
    <row r="50" spans="1:14" s="37" customFormat="1" ht="22.5" customHeight="1">
      <c r="A50" s="11">
        <v>6115</v>
      </c>
      <c r="B50" s="11" t="s">
        <v>95</v>
      </c>
      <c r="C50" s="20">
        <v>439534542</v>
      </c>
      <c r="D50" s="71">
        <v>821959</v>
      </c>
      <c r="E50" s="60">
        <f>(D50/C50)</f>
        <v>0.0018700669036382583</v>
      </c>
      <c r="F50" s="92"/>
      <c r="G50" s="85"/>
      <c r="H50" s="67"/>
      <c r="I50" s="67"/>
      <c r="J50" s="67"/>
      <c r="K50" s="67"/>
      <c r="L50" s="67"/>
      <c r="M50" s="67"/>
      <c r="N50" s="67"/>
    </row>
    <row r="51" spans="1:14" s="37" customFormat="1" ht="22.5" customHeight="1">
      <c r="A51" s="18">
        <v>6250</v>
      </c>
      <c r="B51" s="18" t="s">
        <v>37</v>
      </c>
      <c r="C51" s="19">
        <f>SUM(C52:C53)</f>
        <v>7350000</v>
      </c>
      <c r="D51" s="38">
        <f>SUM(D52:D53)</f>
        <v>0</v>
      </c>
      <c r="E51" s="104">
        <f>SUM(E52:E53)</f>
        <v>0</v>
      </c>
      <c r="F51" s="91">
        <v>0.12</v>
      </c>
      <c r="G51" s="85"/>
      <c r="H51" s="67"/>
      <c r="I51" s="67"/>
      <c r="J51" s="67"/>
      <c r="K51" s="67"/>
      <c r="L51" s="67"/>
      <c r="M51" s="67"/>
      <c r="N51" s="67"/>
    </row>
    <row r="52" spans="1:14" s="37" customFormat="1" ht="22.5" customHeight="1">
      <c r="A52" s="11">
        <v>6253</v>
      </c>
      <c r="B52" s="11" t="s">
        <v>38</v>
      </c>
      <c r="C52" s="20">
        <v>3318000</v>
      </c>
      <c r="D52" s="72"/>
      <c r="E52" s="60">
        <f>(D52/C52)</f>
        <v>0</v>
      </c>
      <c r="F52" s="90"/>
      <c r="G52" s="85"/>
      <c r="H52" s="67"/>
      <c r="I52" s="67"/>
      <c r="J52" s="67"/>
      <c r="K52" s="67"/>
      <c r="L52" s="67"/>
      <c r="M52" s="67"/>
      <c r="N52" s="67"/>
    </row>
    <row r="53" spans="1:14" s="37" customFormat="1" ht="22.5" customHeight="1">
      <c r="A53" s="11">
        <v>6257</v>
      </c>
      <c r="B53" s="11" t="s">
        <v>39</v>
      </c>
      <c r="C53" s="20">
        <v>4032000</v>
      </c>
      <c r="D53" s="72"/>
      <c r="E53" s="60">
        <f>(D53/C53)</f>
        <v>0</v>
      </c>
      <c r="F53" s="90"/>
      <c r="G53" s="85"/>
      <c r="H53" s="67"/>
      <c r="I53" s="67"/>
      <c r="J53" s="67"/>
      <c r="K53" s="67"/>
      <c r="L53" s="67"/>
      <c r="M53" s="67"/>
      <c r="N53" s="67"/>
    </row>
    <row r="54" spans="1:14" s="37" customFormat="1" ht="22.5" customHeight="1">
      <c r="A54" s="18">
        <v>6300</v>
      </c>
      <c r="B54" s="18" t="s">
        <v>40</v>
      </c>
      <c r="C54" s="19">
        <f>SUM(C55:C58)</f>
        <v>725509494</v>
      </c>
      <c r="D54" s="38">
        <f>SUM(D55:D58)</f>
        <v>150043222</v>
      </c>
      <c r="E54" s="104">
        <f>SUM(E55:E58)</f>
        <v>0.8219382927983329</v>
      </c>
      <c r="F54" s="91">
        <f>G54/D54</f>
        <v>1.4964292355705344</v>
      </c>
      <c r="G54" s="85">
        <v>224529064</v>
      </c>
      <c r="H54" s="67"/>
      <c r="I54" s="67"/>
      <c r="J54" s="67"/>
      <c r="K54" s="67"/>
      <c r="L54" s="67"/>
      <c r="M54" s="67"/>
      <c r="N54" s="67"/>
    </row>
    <row r="55" spans="1:14" s="37" customFormat="1" ht="22.5" customHeight="1">
      <c r="A55" s="11">
        <v>6301</v>
      </c>
      <c r="B55" s="11" t="s">
        <v>41</v>
      </c>
      <c r="C55" s="20">
        <v>540272950</v>
      </c>
      <c r="D55" s="72">
        <v>112035137</v>
      </c>
      <c r="E55" s="60">
        <f>(D55/C55)</f>
        <v>0.20736765925445647</v>
      </c>
      <c r="F55" s="92"/>
      <c r="G55" s="85"/>
      <c r="H55" s="67"/>
      <c r="I55" s="67"/>
      <c r="J55" s="67"/>
      <c r="K55" s="67"/>
      <c r="L55" s="67"/>
      <c r="M55" s="67"/>
      <c r="N55" s="67"/>
    </row>
    <row r="56" spans="1:14" s="37" customFormat="1" ht="22.5" customHeight="1">
      <c r="A56" s="11">
        <v>6302</v>
      </c>
      <c r="B56" s="11" t="s">
        <v>42</v>
      </c>
      <c r="C56" s="20">
        <v>92618272</v>
      </c>
      <c r="D56" s="72">
        <v>19034595</v>
      </c>
      <c r="E56" s="60">
        <f>(D56/C56)</f>
        <v>0.20551662851148852</v>
      </c>
      <c r="F56" s="92"/>
      <c r="G56" s="85"/>
      <c r="H56" s="67"/>
      <c r="I56" s="67"/>
      <c r="J56" s="67"/>
      <c r="K56" s="67"/>
      <c r="L56" s="67"/>
      <c r="M56" s="67"/>
      <c r="N56" s="67"/>
    </row>
    <row r="57" spans="1:14" s="37" customFormat="1" ht="22.5" customHeight="1">
      <c r="A57" s="11">
        <v>6303</v>
      </c>
      <c r="B57" s="11" t="s">
        <v>43</v>
      </c>
      <c r="C57" s="20">
        <v>61745515</v>
      </c>
      <c r="D57" s="72">
        <v>12689730</v>
      </c>
      <c r="E57" s="60">
        <f>(D57/C57)</f>
        <v>0.20551662740200644</v>
      </c>
      <c r="F57" s="92"/>
      <c r="G57" s="85"/>
      <c r="H57" s="67"/>
      <c r="I57" s="67"/>
      <c r="J57" s="67"/>
      <c r="K57" s="67"/>
      <c r="L57" s="67"/>
      <c r="M57" s="67"/>
      <c r="N57" s="67"/>
    </row>
    <row r="58" spans="1:14" s="37" customFormat="1" ht="22.5" customHeight="1">
      <c r="A58" s="11">
        <v>6304</v>
      </c>
      <c r="B58" s="11" t="s">
        <v>44</v>
      </c>
      <c r="C58" s="20">
        <v>30872757</v>
      </c>
      <c r="D58" s="72">
        <v>6283760</v>
      </c>
      <c r="E58" s="60">
        <f>(D58/C58)</f>
        <v>0.20353737763038138</v>
      </c>
      <c r="F58" s="92"/>
      <c r="G58" s="85"/>
      <c r="H58" s="67"/>
      <c r="I58" s="67"/>
      <c r="J58" s="67"/>
      <c r="K58" s="67"/>
      <c r="L58" s="67"/>
      <c r="M58" s="67"/>
      <c r="N58" s="67"/>
    </row>
    <row r="59" spans="1:14" s="37" customFormat="1" ht="22.5" customHeight="1">
      <c r="A59" s="77">
        <v>6400</v>
      </c>
      <c r="B59" s="78" t="s">
        <v>79</v>
      </c>
      <c r="C59" s="22">
        <f>C60</f>
        <v>107262520</v>
      </c>
      <c r="D59" s="73">
        <f>D60</f>
        <v>3000000</v>
      </c>
      <c r="E59" s="106">
        <f>E60</f>
        <v>0</v>
      </c>
      <c r="F59" s="91">
        <f>G59/D59</f>
        <v>1.5</v>
      </c>
      <c r="G59" s="85">
        <v>4500000</v>
      </c>
      <c r="H59" s="67"/>
      <c r="I59" s="67"/>
      <c r="J59" s="67"/>
      <c r="K59" s="67"/>
      <c r="L59" s="67"/>
      <c r="M59" s="67"/>
      <c r="N59" s="67"/>
    </row>
    <row r="60" spans="1:14" s="37" customFormat="1" ht="22.5" customHeight="1">
      <c r="A60" s="79">
        <v>6404</v>
      </c>
      <c r="B60" s="70" t="s">
        <v>134</v>
      </c>
      <c r="C60" s="20">
        <v>107262520</v>
      </c>
      <c r="D60" s="72">
        <v>3000000</v>
      </c>
      <c r="E60" s="20"/>
      <c r="F60" s="92"/>
      <c r="G60" s="85"/>
      <c r="H60" s="67"/>
      <c r="I60" s="67"/>
      <c r="J60" s="67"/>
      <c r="K60" s="67"/>
      <c r="L60" s="67"/>
      <c r="M60" s="67"/>
      <c r="N60" s="67"/>
    </row>
    <row r="61" spans="1:14" s="37" customFormat="1" ht="22.5" customHeight="1">
      <c r="A61" s="99">
        <v>1.2</v>
      </c>
      <c r="B61" s="100" t="s">
        <v>115</v>
      </c>
      <c r="C61" s="75">
        <f>C62+C65+C70+C75</f>
        <v>1097219000</v>
      </c>
      <c r="D61" s="98">
        <f>D62+D65+D70+D75</f>
        <v>229828960</v>
      </c>
      <c r="E61" s="105">
        <f>E62+E65+E70+E75</f>
        <v>1.487176837304475</v>
      </c>
      <c r="F61" s="93">
        <v>0</v>
      </c>
      <c r="G61" s="85"/>
      <c r="H61" s="67"/>
      <c r="I61" s="67"/>
      <c r="J61" s="67"/>
      <c r="K61" s="67"/>
      <c r="L61" s="67"/>
      <c r="M61" s="67"/>
      <c r="N61" s="67"/>
    </row>
    <row r="62" spans="1:14" s="37" customFormat="1" ht="22.5" customHeight="1">
      <c r="A62" s="18">
        <v>6000</v>
      </c>
      <c r="B62" s="18" t="s">
        <v>35</v>
      </c>
      <c r="C62" s="19">
        <f>SUM(C63:C64)</f>
        <v>601809600</v>
      </c>
      <c r="D62" s="38">
        <f>SUM(D63:D64)</f>
        <v>144729115</v>
      </c>
      <c r="E62" s="59"/>
      <c r="F62" s="91">
        <v>1.45</v>
      </c>
      <c r="G62" s="85"/>
      <c r="H62" s="67"/>
      <c r="I62" s="67"/>
      <c r="J62" s="67"/>
      <c r="K62" s="67"/>
      <c r="L62" s="67"/>
      <c r="M62" s="67"/>
      <c r="N62" s="67"/>
    </row>
    <row r="63" spans="1:14" s="37" customFormat="1" ht="22.5" customHeight="1">
      <c r="A63" s="11">
        <v>6001</v>
      </c>
      <c r="B63" s="11" t="s">
        <v>30</v>
      </c>
      <c r="C63" s="20">
        <f>435489600+166320000</f>
        <v>601809600</v>
      </c>
      <c r="D63" s="71">
        <v>144729115</v>
      </c>
      <c r="E63" s="60">
        <f>(D63/C63)</f>
        <v>0.2404898742060612</v>
      </c>
      <c r="F63" s="92"/>
      <c r="G63" s="85"/>
      <c r="H63" s="67"/>
      <c r="I63" s="67"/>
      <c r="J63" s="67"/>
      <c r="K63" s="67"/>
      <c r="L63" s="67"/>
      <c r="M63" s="67"/>
      <c r="N63" s="67"/>
    </row>
    <row r="64" spans="1:14" s="37" customFormat="1" ht="22.5" customHeight="1">
      <c r="A64" s="11">
        <v>6003</v>
      </c>
      <c r="B64" s="11" t="s">
        <v>31</v>
      </c>
      <c r="C64" s="20"/>
      <c r="D64" s="71"/>
      <c r="E64" s="60"/>
      <c r="F64" s="92"/>
      <c r="G64" s="85"/>
      <c r="H64" s="67"/>
      <c r="I64" s="67"/>
      <c r="J64" s="67"/>
      <c r="K64" s="67"/>
      <c r="L64" s="67"/>
      <c r="M64" s="67"/>
      <c r="N64" s="67"/>
    </row>
    <row r="65" spans="1:14" s="37" customFormat="1" ht="22.5" customHeight="1">
      <c r="A65" s="18">
        <v>6100</v>
      </c>
      <c r="B65" s="18" t="s">
        <v>36</v>
      </c>
      <c r="C65" s="19">
        <f>SUM(C66:C69)</f>
        <v>310420235</v>
      </c>
      <c r="D65" s="38">
        <f>SUM(D66:D69)</f>
        <v>50610505</v>
      </c>
      <c r="E65" s="104">
        <f>SUM(E66:E69)</f>
        <v>0.6671225963458528</v>
      </c>
      <c r="F65" s="91">
        <v>1.3</v>
      </c>
      <c r="G65" s="85"/>
      <c r="H65" s="67"/>
      <c r="I65" s="67"/>
      <c r="J65" s="67"/>
      <c r="K65" s="67"/>
      <c r="L65" s="67"/>
      <c r="M65" s="67"/>
      <c r="N65" s="67"/>
    </row>
    <row r="66" spans="1:14" s="37" customFormat="1" ht="22.5" customHeight="1">
      <c r="A66" s="11">
        <v>6101</v>
      </c>
      <c r="B66" s="11" t="s">
        <v>32</v>
      </c>
      <c r="C66" s="20">
        <v>10920000</v>
      </c>
      <c r="D66" s="71">
        <v>1853600</v>
      </c>
      <c r="E66" s="60">
        <f>(D66/C66)</f>
        <v>0.16974358974358975</v>
      </c>
      <c r="F66" s="92"/>
      <c r="G66" s="85"/>
      <c r="H66" s="67"/>
      <c r="I66" s="67"/>
      <c r="J66" s="67"/>
      <c r="K66" s="67"/>
      <c r="L66" s="67"/>
      <c r="M66" s="67"/>
      <c r="N66" s="67"/>
    </row>
    <row r="67" spans="1:14" s="37" customFormat="1" ht="22.5" customHeight="1">
      <c r="A67" s="11">
        <v>6112</v>
      </c>
      <c r="B67" s="11" t="s">
        <v>33</v>
      </c>
      <c r="C67" s="20">
        <v>196109760</v>
      </c>
      <c r="D67" s="71">
        <v>48146700</v>
      </c>
      <c r="E67" s="60">
        <f>(D67/C67)</f>
        <v>0.24550894356303327</v>
      </c>
      <c r="F67" s="92"/>
      <c r="G67" s="85"/>
      <c r="H67" s="67"/>
      <c r="I67" s="67"/>
      <c r="J67" s="67"/>
      <c r="K67" s="67"/>
      <c r="L67" s="67"/>
      <c r="M67" s="67"/>
      <c r="N67" s="67"/>
    </row>
    <row r="68" spans="1:14" s="37" customFormat="1" ht="22.5" customHeight="1">
      <c r="A68" s="11">
        <v>6113</v>
      </c>
      <c r="B68" s="11" t="s">
        <v>34</v>
      </c>
      <c r="C68" s="20">
        <v>1680000</v>
      </c>
      <c r="D68" s="71">
        <v>420000</v>
      </c>
      <c r="E68" s="60">
        <f>(D68/C68)</f>
        <v>0.25</v>
      </c>
      <c r="F68" s="92"/>
      <c r="G68" s="85"/>
      <c r="H68" s="67"/>
      <c r="I68" s="67"/>
      <c r="J68" s="67"/>
      <c r="K68" s="67"/>
      <c r="L68" s="67"/>
      <c r="M68" s="67"/>
      <c r="N68" s="67"/>
    </row>
    <row r="69" spans="1:14" s="37" customFormat="1" ht="22.5" customHeight="1">
      <c r="A69" s="11">
        <v>6115</v>
      </c>
      <c r="B69" s="11" t="s">
        <v>95</v>
      </c>
      <c r="C69" s="20">
        <v>101710475</v>
      </c>
      <c r="D69" s="71">
        <v>190205</v>
      </c>
      <c r="E69" s="60">
        <f>(D69/C69)</f>
        <v>0.0018700630392297353</v>
      </c>
      <c r="F69" s="92"/>
      <c r="G69" s="85"/>
      <c r="H69" s="67"/>
      <c r="I69" s="67"/>
      <c r="J69" s="67"/>
      <c r="K69" s="67"/>
      <c r="L69" s="67"/>
      <c r="M69" s="67"/>
      <c r="N69" s="67"/>
    </row>
    <row r="70" spans="1:14" s="37" customFormat="1" ht="22.5" customHeight="1">
      <c r="A70" s="18">
        <v>6300</v>
      </c>
      <c r="B70" s="18" t="s">
        <v>40</v>
      </c>
      <c r="C70" s="19">
        <f>SUM(C71:C74)</f>
        <v>167893112</v>
      </c>
      <c r="D70" s="38">
        <f>SUM(D71:D74)</f>
        <v>34489340</v>
      </c>
      <c r="E70" s="104">
        <f>SUM(E71:E74)</f>
        <v>0.8200542409586221</v>
      </c>
      <c r="F70" s="91">
        <v>1.65</v>
      </c>
      <c r="G70" s="85"/>
      <c r="H70" s="67"/>
      <c r="I70" s="67"/>
      <c r="J70" s="67"/>
      <c r="K70" s="67"/>
      <c r="L70" s="67"/>
      <c r="M70" s="67"/>
      <c r="N70" s="67"/>
    </row>
    <row r="71" spans="1:14" s="37" customFormat="1" ht="22.5" customHeight="1">
      <c r="A71" s="11">
        <v>6301</v>
      </c>
      <c r="B71" s="11" t="s">
        <v>41</v>
      </c>
      <c r="C71" s="20">
        <v>125026708</v>
      </c>
      <c r="D71" s="72">
        <v>25694081</v>
      </c>
      <c r="E71" s="60">
        <f>(D71/C71)</f>
        <v>0.2055087381809653</v>
      </c>
      <c r="F71" s="92"/>
      <c r="G71" s="85"/>
      <c r="H71" s="67"/>
      <c r="I71" s="67"/>
      <c r="J71" s="67"/>
      <c r="K71" s="67"/>
      <c r="L71" s="67"/>
      <c r="M71" s="67"/>
      <c r="N71" s="67"/>
    </row>
    <row r="72" spans="1:14" s="37" customFormat="1" ht="22.5" customHeight="1">
      <c r="A72" s="11">
        <v>6302</v>
      </c>
      <c r="B72" s="11" t="s">
        <v>42</v>
      </c>
      <c r="C72" s="20">
        <v>21433202</v>
      </c>
      <c r="D72" s="72">
        <v>4404700</v>
      </c>
      <c r="E72" s="60">
        <f>(D72/C72)</f>
        <v>0.20550825770223227</v>
      </c>
      <c r="F72" s="92"/>
      <c r="G72" s="85"/>
      <c r="H72" s="67"/>
      <c r="I72" s="67"/>
      <c r="J72" s="67"/>
      <c r="K72" s="67"/>
      <c r="L72" s="67"/>
      <c r="M72" s="67"/>
      <c r="N72" s="67"/>
    </row>
    <row r="73" spans="1:14" s="37" customFormat="1" ht="22.5" customHeight="1">
      <c r="A73" s="11">
        <v>6303</v>
      </c>
      <c r="B73" s="11" t="s">
        <v>43</v>
      </c>
      <c r="C73" s="20">
        <v>14288801</v>
      </c>
      <c r="D73" s="72">
        <v>2936466</v>
      </c>
      <c r="E73" s="60">
        <f>(D73/C73)</f>
        <v>0.2055082158398035</v>
      </c>
      <c r="F73" s="92"/>
      <c r="G73" s="85"/>
      <c r="H73" s="67"/>
      <c r="I73" s="67"/>
      <c r="J73" s="67"/>
      <c r="K73" s="67"/>
      <c r="L73" s="67"/>
      <c r="M73" s="67"/>
      <c r="N73" s="67"/>
    </row>
    <row r="74" spans="1:14" s="37" customFormat="1" ht="22.5" customHeight="1">
      <c r="A74" s="11">
        <v>6304</v>
      </c>
      <c r="B74" s="11" t="s">
        <v>44</v>
      </c>
      <c r="C74" s="20">
        <v>7144401</v>
      </c>
      <c r="D74" s="72">
        <v>1454093</v>
      </c>
      <c r="E74" s="60">
        <f>(D74/C74)</f>
        <v>0.20352902923562102</v>
      </c>
      <c r="F74" s="92"/>
      <c r="G74" s="85"/>
      <c r="H74" s="67"/>
      <c r="I74" s="67"/>
      <c r="J74" s="67"/>
      <c r="K74" s="67"/>
      <c r="L74" s="67"/>
      <c r="M74" s="67"/>
      <c r="N74" s="67"/>
    </row>
    <row r="75" spans="1:14" s="52" customFormat="1" ht="22.5" customHeight="1">
      <c r="A75" s="18">
        <v>7750</v>
      </c>
      <c r="B75" s="18" t="s">
        <v>129</v>
      </c>
      <c r="C75" s="19">
        <f>C76</f>
        <v>17096053</v>
      </c>
      <c r="D75" s="38"/>
      <c r="E75" s="59"/>
      <c r="F75" s="91"/>
      <c r="G75" s="88"/>
      <c r="H75" s="69"/>
      <c r="I75" s="69"/>
      <c r="J75" s="69"/>
      <c r="K75" s="69"/>
      <c r="L75" s="69"/>
      <c r="M75" s="69"/>
      <c r="N75" s="69"/>
    </row>
    <row r="76" spans="1:14" s="37" customFormat="1" ht="22.5" customHeight="1">
      <c r="A76" s="11">
        <v>7799</v>
      </c>
      <c r="B76" s="11" t="s">
        <v>130</v>
      </c>
      <c r="C76" s="20">
        <v>17096053</v>
      </c>
      <c r="D76" s="72"/>
      <c r="E76" s="60"/>
      <c r="F76" s="92"/>
      <c r="G76" s="85"/>
      <c r="H76" s="67"/>
      <c r="I76" s="67"/>
      <c r="J76" s="67"/>
      <c r="K76" s="67"/>
      <c r="L76" s="67"/>
      <c r="M76" s="67"/>
      <c r="N76" s="67"/>
    </row>
    <row r="77" spans="1:14" s="37" customFormat="1" ht="22.5" customHeight="1">
      <c r="A77" s="18">
        <v>6500</v>
      </c>
      <c r="B77" s="18" t="s">
        <v>45</v>
      </c>
      <c r="C77" s="26">
        <f>SUM(C78:C80)</f>
        <v>111900000</v>
      </c>
      <c r="D77" s="13">
        <f>SUM(D78:D80)</f>
        <v>19539443</v>
      </c>
      <c r="E77" s="102">
        <f>SUM(E78:E80)</f>
        <v>0.21710492222222222</v>
      </c>
      <c r="F77" s="91">
        <f>G77/D77</f>
        <v>0.4476570289132602</v>
      </c>
      <c r="G77" s="85">
        <v>8746969</v>
      </c>
      <c r="H77" s="67"/>
      <c r="I77" s="67"/>
      <c r="J77" s="67"/>
      <c r="K77" s="67"/>
      <c r="L77" s="67"/>
      <c r="M77" s="67"/>
      <c r="N77" s="67"/>
    </row>
    <row r="78" spans="1:14" s="37" customFormat="1" ht="22.5" customHeight="1">
      <c r="A78" s="11">
        <v>6501</v>
      </c>
      <c r="B78" s="11" t="s">
        <v>46</v>
      </c>
      <c r="C78" s="27">
        <v>90000000</v>
      </c>
      <c r="D78" s="72">
        <v>19539443</v>
      </c>
      <c r="E78" s="60">
        <f>(D78/C78)</f>
        <v>0.21710492222222222</v>
      </c>
      <c r="F78" s="92"/>
      <c r="G78" s="85"/>
      <c r="H78" s="67"/>
      <c r="I78" s="67"/>
      <c r="J78" s="67"/>
      <c r="K78" s="67"/>
      <c r="L78" s="67"/>
      <c r="M78" s="67"/>
      <c r="N78" s="67"/>
    </row>
    <row r="79" spans="1:14" s="37" customFormat="1" ht="22.5" customHeight="1">
      <c r="A79" s="11">
        <v>6502</v>
      </c>
      <c r="B79" s="11" t="s">
        <v>47</v>
      </c>
      <c r="C79" s="27">
        <v>4800000</v>
      </c>
      <c r="D79" s="72"/>
      <c r="E79" s="60">
        <f>(D79/C79)</f>
        <v>0</v>
      </c>
      <c r="F79" s="92"/>
      <c r="G79" s="85"/>
      <c r="H79" s="67"/>
      <c r="I79" s="67"/>
      <c r="J79" s="67"/>
      <c r="K79" s="67"/>
      <c r="L79" s="67"/>
      <c r="M79" s="67"/>
      <c r="N79" s="67"/>
    </row>
    <row r="80" spans="1:14" s="37" customFormat="1" ht="22.5" customHeight="1">
      <c r="A80" s="11">
        <v>6504</v>
      </c>
      <c r="B80" s="11" t="s">
        <v>48</v>
      </c>
      <c r="C80" s="27">
        <v>17100000</v>
      </c>
      <c r="D80" s="72"/>
      <c r="E80" s="60">
        <f>(D80/C80)</f>
        <v>0</v>
      </c>
      <c r="F80" s="92"/>
      <c r="G80" s="85"/>
      <c r="H80" s="67"/>
      <c r="I80" s="67"/>
      <c r="J80" s="67"/>
      <c r="K80" s="67"/>
      <c r="L80" s="67"/>
      <c r="M80" s="67"/>
      <c r="N80" s="67"/>
    </row>
    <row r="81" spans="1:14" s="37" customFormat="1" ht="22.5" customHeight="1">
      <c r="A81" s="18">
        <v>6550</v>
      </c>
      <c r="B81" s="18" t="s">
        <v>49</v>
      </c>
      <c r="C81" s="13">
        <f>SUM(C82:C84)</f>
        <v>124562200</v>
      </c>
      <c r="D81" s="13">
        <f>SUM(D82:D84)</f>
        <v>35877000</v>
      </c>
      <c r="E81" s="102">
        <f>SUM(E82:E84)</f>
        <v>0.7579212421718798</v>
      </c>
      <c r="F81" s="91">
        <f>G81/D81</f>
        <v>0.6762549823006383</v>
      </c>
      <c r="G81" s="85">
        <v>24262000</v>
      </c>
      <c r="H81" s="67"/>
      <c r="I81" s="67"/>
      <c r="J81" s="67"/>
      <c r="K81" s="67"/>
      <c r="L81" s="67"/>
      <c r="M81" s="67"/>
      <c r="N81" s="67"/>
    </row>
    <row r="82" spans="1:14" s="37" customFormat="1" ht="22.5" customHeight="1">
      <c r="A82" s="11">
        <v>6551</v>
      </c>
      <c r="B82" s="11" t="s">
        <v>157</v>
      </c>
      <c r="C82" s="27">
        <v>43212200</v>
      </c>
      <c r="D82" s="72">
        <v>14192000</v>
      </c>
      <c r="E82" s="60">
        <f>(D82/C82)</f>
        <v>0.3284257686486687</v>
      </c>
      <c r="F82" s="92"/>
      <c r="G82" s="85"/>
      <c r="H82" s="67"/>
      <c r="I82" s="67"/>
      <c r="J82" s="67"/>
      <c r="K82" s="67"/>
      <c r="L82" s="67"/>
      <c r="M82" s="67"/>
      <c r="N82" s="67"/>
    </row>
    <row r="83" spans="1:14" s="37" customFormat="1" ht="22.5" customHeight="1">
      <c r="A83" s="11">
        <v>6552</v>
      </c>
      <c r="B83" s="11" t="s">
        <v>51</v>
      </c>
      <c r="C83" s="27">
        <v>10200000</v>
      </c>
      <c r="D83" s="72">
        <v>1485000</v>
      </c>
      <c r="E83" s="60">
        <f>(D83/C83)</f>
        <v>0.14558823529411766</v>
      </c>
      <c r="F83" s="92"/>
      <c r="G83" s="85"/>
      <c r="H83" s="67"/>
      <c r="I83" s="67"/>
      <c r="J83" s="67"/>
      <c r="K83" s="67"/>
      <c r="L83" s="67"/>
      <c r="M83" s="67"/>
      <c r="N83" s="67"/>
    </row>
    <row r="84" spans="1:14" s="37" customFormat="1" ht="22.5" customHeight="1">
      <c r="A84" s="11">
        <v>6559</v>
      </c>
      <c r="B84" s="11" t="s">
        <v>52</v>
      </c>
      <c r="C84" s="27">
        <v>71150000</v>
      </c>
      <c r="D84" s="72">
        <v>20200000</v>
      </c>
      <c r="E84" s="60">
        <f>(D84/C84)</f>
        <v>0.2839072382290935</v>
      </c>
      <c r="F84" s="94"/>
      <c r="G84" s="85"/>
      <c r="H84" s="67"/>
      <c r="I84" s="67"/>
      <c r="J84" s="67"/>
      <c r="K84" s="67"/>
      <c r="L84" s="67"/>
      <c r="M84" s="67"/>
      <c r="N84" s="67"/>
    </row>
    <row r="85" spans="1:14" s="37" customFormat="1" ht="22.5" customHeight="1">
      <c r="A85" s="18">
        <v>6600</v>
      </c>
      <c r="B85" s="18" t="s">
        <v>53</v>
      </c>
      <c r="C85" s="13">
        <f>SUM(C86:C89)</f>
        <v>24000000</v>
      </c>
      <c r="D85" s="13">
        <f>SUM(D86:D89)</f>
        <v>1416000</v>
      </c>
      <c r="E85" s="102">
        <f>SUM(E86:E89)</f>
        <v>0.16833333333333333</v>
      </c>
      <c r="F85" s="91">
        <f>G85/D85</f>
        <v>1.6355932203389831</v>
      </c>
      <c r="G85" s="85">
        <v>2316000</v>
      </c>
      <c r="H85" s="67"/>
      <c r="I85" s="67"/>
      <c r="J85" s="67"/>
      <c r="K85" s="67"/>
      <c r="L85" s="67"/>
      <c r="M85" s="67"/>
      <c r="N85" s="67"/>
    </row>
    <row r="86" spans="1:14" s="37" customFormat="1" ht="22.5" customHeight="1">
      <c r="A86" s="11">
        <v>6601</v>
      </c>
      <c r="B86" s="11" t="s">
        <v>54</v>
      </c>
      <c r="C86" s="27">
        <v>3600000</v>
      </c>
      <c r="D86" s="72">
        <v>66000</v>
      </c>
      <c r="E86" s="60">
        <f>(D86/C86)</f>
        <v>0.018333333333333333</v>
      </c>
      <c r="F86" s="92"/>
      <c r="G86" s="85"/>
      <c r="H86" s="67"/>
      <c r="I86" s="67"/>
      <c r="J86" s="67"/>
      <c r="K86" s="67"/>
      <c r="L86" s="67"/>
      <c r="M86" s="67"/>
      <c r="N86" s="67"/>
    </row>
    <row r="87" spans="1:14" s="37" customFormat="1" ht="22.5" customHeight="1">
      <c r="A87" s="11">
        <v>6605</v>
      </c>
      <c r="B87" s="11" t="s">
        <v>56</v>
      </c>
      <c r="C87" s="27">
        <v>8400000</v>
      </c>
      <c r="D87" s="72"/>
      <c r="E87" s="60">
        <f>(D87/C87)</f>
        <v>0</v>
      </c>
      <c r="F87" s="92"/>
      <c r="G87" s="85"/>
      <c r="H87" s="67"/>
      <c r="I87" s="67"/>
      <c r="J87" s="67"/>
      <c r="K87" s="67"/>
      <c r="L87" s="67"/>
      <c r="M87" s="67"/>
      <c r="N87" s="67"/>
    </row>
    <row r="88" spans="1:14" s="37" customFormat="1" ht="22.5" customHeight="1">
      <c r="A88" s="11">
        <v>6608</v>
      </c>
      <c r="B88" s="11" t="s">
        <v>55</v>
      </c>
      <c r="C88" s="27">
        <v>3000000</v>
      </c>
      <c r="D88" s="72"/>
      <c r="E88" s="60">
        <f>(D88/C88)</f>
        <v>0</v>
      </c>
      <c r="F88" s="92"/>
      <c r="G88" s="85"/>
      <c r="H88" s="67"/>
      <c r="I88" s="67"/>
      <c r="J88" s="67"/>
      <c r="K88" s="67"/>
      <c r="L88" s="67"/>
      <c r="M88" s="67"/>
      <c r="N88" s="67"/>
    </row>
    <row r="89" spans="1:14" s="37" customFormat="1" ht="22.5" customHeight="1">
      <c r="A89" s="11">
        <v>6618</v>
      </c>
      <c r="B89" s="11" t="s">
        <v>91</v>
      </c>
      <c r="C89" s="27">
        <v>9000000</v>
      </c>
      <c r="D89" s="72">
        <v>1350000</v>
      </c>
      <c r="E89" s="60">
        <f>(D89/C89)</f>
        <v>0.15</v>
      </c>
      <c r="F89" s="92"/>
      <c r="G89" s="85"/>
      <c r="H89" s="67"/>
      <c r="I89" s="67"/>
      <c r="J89" s="67"/>
      <c r="K89" s="67"/>
      <c r="L89" s="67"/>
      <c r="M89" s="67"/>
      <c r="N89" s="67"/>
    </row>
    <row r="90" spans="1:14" s="37" customFormat="1" ht="22.5" customHeight="1">
      <c r="A90" s="18">
        <v>6650</v>
      </c>
      <c r="B90" s="18" t="s">
        <v>57</v>
      </c>
      <c r="C90" s="13">
        <f>SUM(C91:C93)</f>
        <v>5840000</v>
      </c>
      <c r="D90" s="13">
        <f>SUM(D91:D93)</f>
        <v>0</v>
      </c>
      <c r="E90" s="59"/>
      <c r="F90" s="91"/>
      <c r="G90" s="85"/>
      <c r="H90" s="67"/>
      <c r="I90" s="67"/>
      <c r="J90" s="67"/>
      <c r="K90" s="67"/>
      <c r="L90" s="67"/>
      <c r="M90" s="67"/>
      <c r="N90" s="67"/>
    </row>
    <row r="91" spans="1:14" s="37" customFormat="1" ht="22.5" customHeight="1">
      <c r="A91" s="11">
        <v>6651</v>
      </c>
      <c r="B91" s="11" t="s">
        <v>116</v>
      </c>
      <c r="C91" s="27">
        <v>1200000</v>
      </c>
      <c r="D91" s="27"/>
      <c r="E91" s="60">
        <f>(D91/C91)</f>
        <v>0</v>
      </c>
      <c r="F91" s="90"/>
      <c r="G91" s="85"/>
      <c r="H91" s="67"/>
      <c r="I91" s="67"/>
      <c r="J91" s="67"/>
      <c r="K91" s="67"/>
      <c r="L91" s="67"/>
      <c r="M91" s="67"/>
      <c r="N91" s="67"/>
    </row>
    <row r="92" spans="1:14" s="37" customFormat="1" ht="22.5" customHeight="1">
      <c r="A92" s="11">
        <v>6657</v>
      </c>
      <c r="B92" s="11" t="s">
        <v>58</v>
      </c>
      <c r="C92" s="27">
        <v>1200000</v>
      </c>
      <c r="D92" s="27"/>
      <c r="E92" s="60">
        <f>(D92/C92)</f>
        <v>0</v>
      </c>
      <c r="F92" s="90"/>
      <c r="G92" s="85"/>
      <c r="H92" s="67"/>
      <c r="I92" s="67"/>
      <c r="J92" s="67"/>
      <c r="K92" s="67"/>
      <c r="L92" s="67"/>
      <c r="M92" s="67"/>
      <c r="N92" s="67"/>
    </row>
    <row r="93" spans="1:14" s="37" customFormat="1" ht="22.5" customHeight="1">
      <c r="A93" s="11">
        <v>6699</v>
      </c>
      <c r="B93" s="11" t="s">
        <v>59</v>
      </c>
      <c r="C93" s="27">
        <v>3440000</v>
      </c>
      <c r="D93" s="27"/>
      <c r="E93" s="60">
        <f>(D93/C93)</f>
        <v>0</v>
      </c>
      <c r="F93" s="90"/>
      <c r="G93" s="85"/>
      <c r="H93" s="67"/>
      <c r="I93" s="67"/>
      <c r="J93" s="67"/>
      <c r="K93" s="67"/>
      <c r="L93" s="67"/>
      <c r="M93" s="67"/>
      <c r="N93" s="67"/>
    </row>
    <row r="94" spans="1:14" s="37" customFormat="1" ht="22.5" customHeight="1">
      <c r="A94" s="18">
        <v>6700</v>
      </c>
      <c r="B94" s="18" t="s">
        <v>60</v>
      </c>
      <c r="C94" s="13">
        <f>SUM(C95:C99)</f>
        <v>116300000</v>
      </c>
      <c r="D94" s="13">
        <f>SUM(D95:D99)</f>
        <v>16143000</v>
      </c>
      <c r="E94" s="102">
        <f>SUM(E95:E99)</f>
        <v>0.6493937856689918</v>
      </c>
      <c r="F94" s="91">
        <f>G94/D94</f>
        <v>1.0685746143839434</v>
      </c>
      <c r="G94" s="85">
        <v>17250000</v>
      </c>
      <c r="H94" s="67"/>
      <c r="I94" s="67"/>
      <c r="J94" s="67"/>
      <c r="K94" s="67"/>
      <c r="L94" s="67"/>
      <c r="M94" s="67"/>
      <c r="N94" s="67"/>
    </row>
    <row r="95" spans="1:14" s="37" customFormat="1" ht="22.5" customHeight="1">
      <c r="A95" s="11">
        <v>6701</v>
      </c>
      <c r="B95" s="11" t="s">
        <v>61</v>
      </c>
      <c r="C95" s="27">
        <v>38000000</v>
      </c>
      <c r="D95" s="72">
        <v>4257000</v>
      </c>
      <c r="E95" s="60">
        <f>(D95/C95)</f>
        <v>0.11202631578947368</v>
      </c>
      <c r="F95" s="92"/>
      <c r="G95" s="85"/>
      <c r="H95" s="67"/>
      <c r="I95" s="67"/>
      <c r="J95" s="67"/>
      <c r="K95" s="67"/>
      <c r="L95" s="67"/>
      <c r="M95" s="67"/>
      <c r="N95" s="67"/>
    </row>
    <row r="96" spans="1:14" s="37" customFormat="1" ht="22.5" customHeight="1">
      <c r="A96" s="11">
        <v>6702</v>
      </c>
      <c r="B96" s="11" t="s">
        <v>62</v>
      </c>
      <c r="C96" s="27">
        <v>42000000</v>
      </c>
      <c r="D96" s="72">
        <v>5586000</v>
      </c>
      <c r="E96" s="60">
        <f>(D96/C96)</f>
        <v>0.133</v>
      </c>
      <c r="F96" s="92"/>
      <c r="G96" s="85"/>
      <c r="H96" s="67"/>
      <c r="I96" s="67"/>
      <c r="J96" s="67"/>
      <c r="K96" s="67"/>
      <c r="L96" s="67"/>
      <c r="M96" s="67"/>
      <c r="N96" s="67"/>
    </row>
    <row r="97" spans="1:14" s="37" customFormat="1" ht="22.5" customHeight="1">
      <c r="A97" s="11">
        <v>6703</v>
      </c>
      <c r="B97" s="11" t="s">
        <v>63</v>
      </c>
      <c r="C97" s="27">
        <v>8300000</v>
      </c>
      <c r="D97" s="72">
        <v>1800000</v>
      </c>
      <c r="E97" s="60">
        <f>(D97/C97)</f>
        <v>0.21686746987951808</v>
      </c>
      <c r="F97" s="92"/>
      <c r="G97" s="85"/>
      <c r="H97" s="67"/>
      <c r="I97" s="67"/>
      <c r="J97" s="67"/>
      <c r="K97" s="67"/>
      <c r="L97" s="67"/>
      <c r="M97" s="67"/>
      <c r="N97" s="67"/>
    </row>
    <row r="98" spans="1:14" s="37" customFormat="1" ht="22.5" customHeight="1">
      <c r="A98" s="11">
        <v>6704</v>
      </c>
      <c r="B98" s="11" t="s">
        <v>64</v>
      </c>
      <c r="C98" s="27">
        <v>24000000</v>
      </c>
      <c r="D98" s="72">
        <v>4500000</v>
      </c>
      <c r="E98" s="60">
        <f>(D98/C98)</f>
        <v>0.1875</v>
      </c>
      <c r="F98" s="92"/>
      <c r="G98" s="85"/>
      <c r="H98" s="67"/>
      <c r="I98" s="67"/>
      <c r="J98" s="67"/>
      <c r="K98" s="67"/>
      <c r="L98" s="67"/>
      <c r="M98" s="67"/>
      <c r="N98" s="67"/>
    </row>
    <row r="99" spans="1:14" s="37" customFormat="1" ht="22.5" customHeight="1">
      <c r="A99" s="11">
        <v>6749</v>
      </c>
      <c r="B99" s="11" t="s">
        <v>65</v>
      </c>
      <c r="C99" s="27">
        <v>4000000</v>
      </c>
      <c r="D99" s="72"/>
      <c r="E99" s="60">
        <f>(D99/C99)</f>
        <v>0</v>
      </c>
      <c r="F99" s="92"/>
      <c r="G99" s="85"/>
      <c r="H99" s="67"/>
      <c r="I99" s="67"/>
      <c r="J99" s="67"/>
      <c r="K99" s="67"/>
      <c r="L99" s="67"/>
      <c r="M99" s="67"/>
      <c r="N99" s="67"/>
    </row>
    <row r="100" spans="1:14" s="39" customFormat="1" ht="22.5" customHeight="1">
      <c r="A100" s="21">
        <v>6750</v>
      </c>
      <c r="B100" s="21" t="s">
        <v>86</v>
      </c>
      <c r="C100" s="13">
        <f>SUM(C101:C103)</f>
        <v>86004400</v>
      </c>
      <c r="D100" s="13">
        <f>SUM(D101:D103)</f>
        <v>27210900</v>
      </c>
      <c r="E100" s="102">
        <f>SUM(E101:E103)</f>
        <v>1.0388085598611914</v>
      </c>
      <c r="F100" s="91">
        <f>G100/D100</f>
        <v>0.584269539045015</v>
      </c>
      <c r="G100" s="87">
        <v>15898500</v>
      </c>
      <c r="H100" s="68"/>
      <c r="I100" s="68"/>
      <c r="J100" s="68"/>
      <c r="K100" s="68"/>
      <c r="L100" s="68"/>
      <c r="M100" s="68"/>
      <c r="N100" s="68"/>
    </row>
    <row r="101" spans="1:14" s="39" customFormat="1" ht="22.5" customHeight="1">
      <c r="A101" s="11">
        <v>6751</v>
      </c>
      <c r="B101" s="11" t="s">
        <v>117</v>
      </c>
      <c r="C101" s="27">
        <v>6500000</v>
      </c>
      <c r="D101" s="27"/>
      <c r="E101" s="60">
        <f>(D101/C101)</f>
        <v>0</v>
      </c>
      <c r="F101" s="92"/>
      <c r="G101" s="87"/>
      <c r="H101" s="68"/>
      <c r="I101" s="68"/>
      <c r="J101" s="68"/>
      <c r="K101" s="68"/>
      <c r="L101" s="68"/>
      <c r="M101" s="68"/>
      <c r="N101" s="68"/>
    </row>
    <row r="102" spans="1:14" s="37" customFormat="1" ht="22.5" customHeight="1">
      <c r="A102" s="11">
        <v>6757</v>
      </c>
      <c r="B102" s="11" t="s">
        <v>97</v>
      </c>
      <c r="C102" s="27">
        <v>65504400</v>
      </c>
      <c r="D102" s="72">
        <v>16110900</v>
      </c>
      <c r="E102" s="60">
        <f>(D102/C102)</f>
        <v>0.24595141700404857</v>
      </c>
      <c r="F102" s="92"/>
      <c r="G102" s="85"/>
      <c r="H102" s="67"/>
      <c r="I102" s="67"/>
      <c r="J102" s="67"/>
      <c r="K102" s="67"/>
      <c r="L102" s="67"/>
      <c r="M102" s="67"/>
      <c r="N102" s="67"/>
    </row>
    <row r="103" spans="1:14" s="37" customFormat="1" ht="22.5" customHeight="1">
      <c r="A103" s="11">
        <v>6799</v>
      </c>
      <c r="B103" s="11" t="s">
        <v>98</v>
      </c>
      <c r="C103" s="27">
        <v>14000000</v>
      </c>
      <c r="D103" s="72">
        <v>11100000</v>
      </c>
      <c r="E103" s="60">
        <f>(D103/C103)</f>
        <v>0.7928571428571428</v>
      </c>
      <c r="F103" s="92"/>
      <c r="G103" s="85"/>
      <c r="H103" s="67"/>
      <c r="I103" s="67"/>
      <c r="J103" s="67"/>
      <c r="K103" s="67"/>
      <c r="L103" s="67"/>
      <c r="M103" s="67"/>
      <c r="N103" s="67"/>
    </row>
    <row r="104" spans="1:14" s="37" customFormat="1" ht="22.5" customHeight="1">
      <c r="A104" s="28">
        <v>6900</v>
      </c>
      <c r="B104" s="18" t="s">
        <v>66</v>
      </c>
      <c r="C104" s="13">
        <f>SUM(C105:C110)</f>
        <v>125200000</v>
      </c>
      <c r="D104" s="13">
        <f>SUM(D105:D110)</f>
        <v>17121000</v>
      </c>
      <c r="E104" s="102">
        <f>SUM(E105:E110)</f>
        <v>0.5059889880234708</v>
      </c>
      <c r="F104" s="91">
        <f>G104/D104</f>
        <v>0.6862916885695929</v>
      </c>
      <c r="G104" s="85">
        <v>11750000</v>
      </c>
      <c r="H104" s="67"/>
      <c r="I104" s="67"/>
      <c r="J104" s="67"/>
      <c r="K104" s="67"/>
      <c r="L104" s="67"/>
      <c r="M104" s="67"/>
      <c r="N104" s="67"/>
    </row>
    <row r="105" spans="1:14" s="37" customFormat="1" ht="22.5" customHeight="1">
      <c r="A105" s="43">
        <v>6905</v>
      </c>
      <c r="B105" s="11" t="s">
        <v>100</v>
      </c>
      <c r="C105" s="27">
        <v>12200000</v>
      </c>
      <c r="D105" s="27"/>
      <c r="E105" s="60">
        <f aca="true" t="shared" si="0" ref="E105:E110">(D105/C105)</f>
        <v>0</v>
      </c>
      <c r="F105" s="92"/>
      <c r="G105" s="85"/>
      <c r="H105" s="67"/>
      <c r="I105" s="67"/>
      <c r="J105" s="67"/>
      <c r="K105" s="67"/>
      <c r="L105" s="67"/>
      <c r="M105" s="67"/>
      <c r="N105" s="67"/>
    </row>
    <row r="106" spans="1:14" s="37" customFormat="1" ht="24.75" customHeight="1">
      <c r="A106" s="43">
        <v>6907</v>
      </c>
      <c r="B106" s="11" t="s">
        <v>101</v>
      </c>
      <c r="C106" s="27">
        <v>9000000</v>
      </c>
      <c r="D106" s="27"/>
      <c r="E106" s="60">
        <f t="shared" si="0"/>
        <v>0</v>
      </c>
      <c r="F106" s="92"/>
      <c r="G106" s="85"/>
      <c r="H106" s="67"/>
      <c r="I106" s="67"/>
      <c r="J106" s="67"/>
      <c r="K106" s="67"/>
      <c r="L106" s="67"/>
      <c r="M106" s="67"/>
      <c r="N106" s="67"/>
    </row>
    <row r="107" spans="1:14" s="37" customFormat="1" ht="24.75" customHeight="1">
      <c r="A107" s="11">
        <v>6912</v>
      </c>
      <c r="B107" s="11" t="s">
        <v>67</v>
      </c>
      <c r="C107" s="27">
        <v>22000000</v>
      </c>
      <c r="D107" s="72">
        <v>500000</v>
      </c>
      <c r="E107" s="60">
        <f t="shared" si="0"/>
        <v>0.022727272727272728</v>
      </c>
      <c r="F107" s="92"/>
      <c r="G107" s="85"/>
      <c r="H107" s="67"/>
      <c r="I107" s="67"/>
      <c r="J107" s="67"/>
      <c r="K107" s="67"/>
      <c r="L107" s="67"/>
      <c r="M107" s="67"/>
      <c r="N107" s="67"/>
    </row>
    <row r="108" spans="1:14" s="37" customFormat="1" ht="24.75" customHeight="1">
      <c r="A108" s="11">
        <v>6913</v>
      </c>
      <c r="B108" s="11" t="s">
        <v>68</v>
      </c>
      <c r="C108" s="27">
        <v>14000000</v>
      </c>
      <c r="D108" s="72"/>
      <c r="E108" s="60">
        <f t="shared" si="0"/>
        <v>0</v>
      </c>
      <c r="F108" s="92"/>
      <c r="G108" s="85"/>
      <c r="H108" s="67"/>
      <c r="I108" s="67"/>
      <c r="J108" s="67"/>
      <c r="K108" s="67"/>
      <c r="L108" s="67"/>
      <c r="M108" s="67"/>
      <c r="N108" s="67"/>
    </row>
    <row r="109" spans="1:14" s="37" customFormat="1" ht="24.75" customHeight="1">
      <c r="A109" s="11">
        <v>6921</v>
      </c>
      <c r="B109" s="11" t="s">
        <v>168</v>
      </c>
      <c r="C109" s="27">
        <v>29000000</v>
      </c>
      <c r="D109" s="72">
        <v>6456000</v>
      </c>
      <c r="E109" s="60">
        <f t="shared" si="0"/>
        <v>0.22262068965517243</v>
      </c>
      <c r="F109" s="90"/>
      <c r="G109" s="85"/>
      <c r="H109" s="67"/>
      <c r="I109" s="67"/>
      <c r="J109" s="67"/>
      <c r="K109" s="67"/>
      <c r="L109" s="67"/>
      <c r="M109" s="67"/>
      <c r="N109" s="67"/>
    </row>
    <row r="110" spans="1:14" s="37" customFormat="1" ht="35.25" customHeight="1">
      <c r="A110" s="11">
        <v>6949</v>
      </c>
      <c r="B110" s="29" t="s">
        <v>167</v>
      </c>
      <c r="C110" s="27">
        <v>39000000</v>
      </c>
      <c r="D110" s="72">
        <v>10165000</v>
      </c>
      <c r="E110" s="60">
        <f t="shared" si="0"/>
        <v>0.26064102564102565</v>
      </c>
      <c r="F110" s="92"/>
      <c r="G110" s="85"/>
      <c r="H110" s="67"/>
      <c r="I110" s="67"/>
      <c r="J110" s="67"/>
      <c r="K110" s="67"/>
      <c r="L110" s="67"/>
      <c r="M110" s="67"/>
      <c r="N110" s="67"/>
    </row>
    <row r="111" spans="1:14" s="39" customFormat="1" ht="24" customHeight="1">
      <c r="A111" s="21">
        <v>6950</v>
      </c>
      <c r="B111" s="24" t="s">
        <v>118</v>
      </c>
      <c r="C111" s="49">
        <f>SUM(C112:C115)</f>
        <v>48446000</v>
      </c>
      <c r="D111" s="49">
        <f>SUM(D112:D115)</f>
        <v>0</v>
      </c>
      <c r="E111" s="49">
        <f>SUM(E112:E115)</f>
        <v>0</v>
      </c>
      <c r="F111" s="91"/>
      <c r="G111" s="87"/>
      <c r="H111" s="68"/>
      <c r="I111" s="68"/>
      <c r="J111" s="68"/>
      <c r="K111" s="68"/>
      <c r="L111" s="68"/>
      <c r="M111" s="68"/>
      <c r="N111" s="68"/>
    </row>
    <row r="112" spans="1:14" s="37" customFormat="1" ht="24" customHeight="1">
      <c r="A112" s="11">
        <v>6954</v>
      </c>
      <c r="B112" s="29" t="s">
        <v>119</v>
      </c>
      <c r="C112" s="27">
        <v>11833000</v>
      </c>
      <c r="D112" s="27"/>
      <c r="E112" s="60">
        <f aca="true" t="shared" si="1" ref="E112:E136">(D112/C112)</f>
        <v>0</v>
      </c>
      <c r="F112" s="92"/>
      <c r="G112" s="85"/>
      <c r="H112" s="67"/>
      <c r="I112" s="67"/>
      <c r="J112" s="67"/>
      <c r="K112" s="67"/>
      <c r="L112" s="67"/>
      <c r="M112" s="67"/>
      <c r="N112" s="67"/>
    </row>
    <row r="113" spans="1:14" s="37" customFormat="1" ht="24" customHeight="1">
      <c r="A113" s="11">
        <v>6955</v>
      </c>
      <c r="B113" s="29" t="s">
        <v>120</v>
      </c>
      <c r="C113" s="27">
        <v>9613000</v>
      </c>
      <c r="D113" s="27"/>
      <c r="E113" s="60">
        <f t="shared" si="1"/>
        <v>0</v>
      </c>
      <c r="F113" s="92"/>
      <c r="G113" s="85"/>
      <c r="H113" s="67"/>
      <c r="I113" s="67"/>
      <c r="J113" s="67"/>
      <c r="K113" s="67"/>
      <c r="L113" s="67"/>
      <c r="M113" s="67"/>
      <c r="N113" s="67"/>
    </row>
    <row r="114" spans="1:14" s="37" customFormat="1" ht="24" customHeight="1">
      <c r="A114" s="11">
        <v>6999</v>
      </c>
      <c r="B114" s="29" t="s">
        <v>122</v>
      </c>
      <c r="C114" s="27">
        <v>12000000</v>
      </c>
      <c r="D114" s="27"/>
      <c r="E114" s="60">
        <f t="shared" si="1"/>
        <v>0</v>
      </c>
      <c r="F114" s="92"/>
      <c r="G114" s="85"/>
      <c r="H114" s="67"/>
      <c r="I114" s="67"/>
      <c r="J114" s="67"/>
      <c r="K114" s="67"/>
      <c r="L114" s="67"/>
      <c r="M114" s="67"/>
      <c r="N114" s="67"/>
    </row>
    <row r="115" spans="1:14" s="37" customFormat="1" ht="24" customHeight="1">
      <c r="A115" s="11">
        <v>6999</v>
      </c>
      <c r="B115" s="29" t="s">
        <v>121</v>
      </c>
      <c r="C115" s="27">
        <v>15000000</v>
      </c>
      <c r="D115" s="27"/>
      <c r="E115" s="60">
        <f t="shared" si="1"/>
        <v>0</v>
      </c>
      <c r="F115" s="92"/>
      <c r="G115" s="85"/>
      <c r="H115" s="67"/>
      <c r="I115" s="67"/>
      <c r="J115" s="67"/>
      <c r="K115" s="67"/>
      <c r="L115" s="67"/>
      <c r="M115" s="67"/>
      <c r="N115" s="67"/>
    </row>
    <row r="116" spans="1:14" s="37" customFormat="1" ht="22.5" customHeight="1">
      <c r="A116" s="18">
        <v>7000</v>
      </c>
      <c r="B116" s="18" t="s">
        <v>70</v>
      </c>
      <c r="C116" s="13">
        <f>SUM(C117:C124)</f>
        <v>418679400</v>
      </c>
      <c r="D116" s="13">
        <f>SUM(D117:D123)</f>
        <v>65667600</v>
      </c>
      <c r="E116" s="102">
        <f>SUM(E117:E123)</f>
        <v>2.8165788679734467</v>
      </c>
      <c r="F116" s="91">
        <f>G116/D116</f>
        <v>1.0858475107968009</v>
      </c>
      <c r="G116" s="85">
        <v>71305000</v>
      </c>
      <c r="H116" s="67"/>
      <c r="I116" s="67"/>
      <c r="J116" s="67"/>
      <c r="K116" s="67"/>
      <c r="L116" s="67"/>
      <c r="M116" s="67"/>
      <c r="N116" s="67"/>
    </row>
    <row r="117" spans="1:14" s="37" customFormat="1" ht="22.5" customHeight="1">
      <c r="A117" s="11">
        <v>7001</v>
      </c>
      <c r="B117" s="11" t="s">
        <v>158</v>
      </c>
      <c r="C117" s="27">
        <f>33156800-9000000</f>
        <v>24156800</v>
      </c>
      <c r="D117" s="72">
        <v>7465000</v>
      </c>
      <c r="E117" s="60">
        <f t="shared" si="1"/>
        <v>0.3090227182408266</v>
      </c>
      <c r="F117" s="90"/>
      <c r="G117" s="85"/>
      <c r="H117" s="67"/>
      <c r="I117" s="67"/>
      <c r="J117" s="67"/>
      <c r="K117" s="67"/>
      <c r="L117" s="67"/>
      <c r="M117" s="67"/>
      <c r="N117" s="67"/>
    </row>
    <row r="118" spans="1:14" s="37" customFormat="1" ht="22.5" customHeight="1">
      <c r="A118" s="11">
        <v>7004</v>
      </c>
      <c r="B118" s="11" t="s">
        <v>159</v>
      </c>
      <c r="C118" s="27">
        <v>1820000</v>
      </c>
      <c r="D118" s="72">
        <v>1820000</v>
      </c>
      <c r="E118" s="60">
        <f t="shared" si="1"/>
        <v>1</v>
      </c>
      <c r="F118" s="90"/>
      <c r="G118" s="85"/>
      <c r="H118" s="67"/>
      <c r="I118" s="67"/>
      <c r="J118" s="67"/>
      <c r="K118" s="67"/>
      <c r="L118" s="67"/>
      <c r="M118" s="67"/>
      <c r="N118" s="67"/>
    </row>
    <row r="119" spans="1:14" s="37" customFormat="1" ht="36.75" customHeight="1">
      <c r="A119" s="11">
        <v>7012</v>
      </c>
      <c r="B119" s="29" t="s">
        <v>160</v>
      </c>
      <c r="C119" s="27">
        <v>9000000</v>
      </c>
      <c r="D119" s="72"/>
      <c r="E119" s="60">
        <f t="shared" si="1"/>
        <v>0</v>
      </c>
      <c r="F119" s="90"/>
      <c r="G119" s="85"/>
      <c r="H119" s="67"/>
      <c r="I119" s="67"/>
      <c r="J119" s="67"/>
      <c r="K119" s="67"/>
      <c r="L119" s="67"/>
      <c r="M119" s="67"/>
      <c r="N119" s="67"/>
    </row>
    <row r="120" spans="1:14" s="37" customFormat="1" ht="22.5" customHeight="1">
      <c r="A120" s="30">
        <v>7049</v>
      </c>
      <c r="B120" s="11" t="s">
        <v>161</v>
      </c>
      <c r="C120" s="27">
        <v>37400000</v>
      </c>
      <c r="D120" s="72">
        <v>56382600</v>
      </c>
      <c r="E120" s="60">
        <f t="shared" si="1"/>
        <v>1.5075561497326204</v>
      </c>
      <c r="F120" s="90"/>
      <c r="G120" s="85"/>
      <c r="H120" s="67"/>
      <c r="I120" s="67"/>
      <c r="J120" s="67"/>
      <c r="K120" s="67"/>
      <c r="L120" s="67"/>
      <c r="M120" s="67"/>
      <c r="N120" s="67"/>
    </row>
    <row r="121" spans="1:14" s="37" customFormat="1" ht="22.5" customHeight="1">
      <c r="A121" s="30">
        <v>7049</v>
      </c>
      <c r="B121" s="11" t="s">
        <v>162</v>
      </c>
      <c r="C121" s="27">
        <v>67000000</v>
      </c>
      <c r="D121" s="72"/>
      <c r="E121" s="60">
        <f t="shared" si="1"/>
        <v>0</v>
      </c>
      <c r="F121" s="92"/>
      <c r="G121" s="85"/>
      <c r="H121" s="67"/>
      <c r="I121" s="67"/>
      <c r="J121" s="67"/>
      <c r="K121" s="67"/>
      <c r="L121" s="67"/>
      <c r="M121" s="67"/>
      <c r="N121" s="67"/>
    </row>
    <row r="122" spans="1:14" s="37" customFormat="1" ht="22.5" customHeight="1">
      <c r="A122" s="30">
        <v>7049</v>
      </c>
      <c r="B122" s="11" t="s">
        <v>163</v>
      </c>
      <c r="C122" s="27">
        <f>254702600-77400000-63502000</f>
        <v>113800600</v>
      </c>
      <c r="D122" s="72"/>
      <c r="E122" s="60">
        <f t="shared" si="1"/>
        <v>0</v>
      </c>
      <c r="F122" s="94"/>
      <c r="G122" s="85"/>
      <c r="H122" s="67">
        <v>383702600</v>
      </c>
      <c r="I122" s="67"/>
      <c r="J122" s="67"/>
      <c r="K122" s="67"/>
      <c r="L122" s="67"/>
      <c r="M122" s="67"/>
      <c r="N122" s="67"/>
    </row>
    <row r="123" spans="1:14" s="37" customFormat="1" ht="22.5" customHeight="1">
      <c r="A123" s="30">
        <v>7049</v>
      </c>
      <c r="B123" s="11" t="s">
        <v>164</v>
      </c>
      <c r="C123" s="27">
        <v>69202000</v>
      </c>
      <c r="D123" s="72"/>
      <c r="E123" s="60">
        <f t="shared" si="1"/>
        <v>0</v>
      </c>
      <c r="F123" s="94"/>
      <c r="G123" s="85"/>
      <c r="H123" s="67">
        <f>H122-C120-C121-C122-C123-C124</f>
        <v>0</v>
      </c>
      <c r="I123" s="67"/>
      <c r="J123" s="67"/>
      <c r="K123" s="67"/>
      <c r="L123" s="67"/>
      <c r="M123" s="67"/>
      <c r="N123" s="67"/>
    </row>
    <row r="124" spans="1:14" s="37" customFormat="1" ht="22.5" customHeight="1">
      <c r="A124" s="30">
        <v>7049</v>
      </c>
      <c r="B124" s="11" t="s">
        <v>129</v>
      </c>
      <c r="C124" s="27">
        <f>13300000+83000000</f>
        <v>96300000</v>
      </c>
      <c r="D124" s="72"/>
      <c r="E124" s="60">
        <f t="shared" si="1"/>
        <v>0</v>
      </c>
      <c r="F124" s="94"/>
      <c r="G124" s="85"/>
      <c r="H124" s="67"/>
      <c r="I124" s="67"/>
      <c r="J124" s="67"/>
      <c r="K124" s="67"/>
      <c r="L124" s="67"/>
      <c r="M124" s="67"/>
      <c r="N124" s="67"/>
    </row>
    <row r="125" spans="1:14" s="37" customFormat="1" ht="22.5" customHeight="1">
      <c r="A125" s="18">
        <v>7750</v>
      </c>
      <c r="B125" s="18" t="s">
        <v>65</v>
      </c>
      <c r="C125" s="13">
        <f>SUM(C126:C130)</f>
        <v>120438000</v>
      </c>
      <c r="D125" s="13">
        <f>SUM(D126:D130)</f>
        <v>1514200</v>
      </c>
      <c r="E125" s="102">
        <f>SUM(E126:E130)</f>
        <v>0.2571671195652174</v>
      </c>
      <c r="F125" s="91"/>
      <c r="G125" s="85">
        <v>41111800</v>
      </c>
      <c r="H125" s="67"/>
      <c r="I125" s="67"/>
      <c r="J125" s="67"/>
      <c r="K125" s="67"/>
      <c r="L125" s="67"/>
      <c r="M125" s="67"/>
      <c r="N125" s="67"/>
    </row>
    <row r="126" spans="1:14" s="37" customFormat="1" ht="22.5" customHeight="1">
      <c r="A126" s="11">
        <v>7756</v>
      </c>
      <c r="B126" s="11" t="s">
        <v>165</v>
      </c>
      <c r="C126" s="27">
        <v>5888000</v>
      </c>
      <c r="D126" s="27">
        <v>1514200</v>
      </c>
      <c r="E126" s="60">
        <f t="shared" si="1"/>
        <v>0.2571671195652174</v>
      </c>
      <c r="F126" s="92"/>
      <c r="G126" s="85"/>
      <c r="H126" s="67"/>
      <c r="I126" s="67"/>
      <c r="J126" s="67"/>
      <c r="K126" s="67"/>
      <c r="L126" s="67"/>
      <c r="M126" s="67"/>
      <c r="N126" s="67"/>
    </row>
    <row r="127" spans="1:14" s="37" customFormat="1" ht="31.5" customHeight="1">
      <c r="A127" s="11">
        <v>7757</v>
      </c>
      <c r="B127" s="29" t="s">
        <v>139</v>
      </c>
      <c r="C127" s="27">
        <v>15000000</v>
      </c>
      <c r="D127" s="27"/>
      <c r="E127" s="60">
        <f t="shared" si="1"/>
        <v>0</v>
      </c>
      <c r="F127" s="92"/>
      <c r="G127" s="85"/>
      <c r="H127" s="67"/>
      <c r="I127" s="67"/>
      <c r="J127" s="67"/>
      <c r="K127" s="67"/>
      <c r="L127" s="67"/>
      <c r="M127" s="67"/>
      <c r="N127" s="67"/>
    </row>
    <row r="128" spans="1:14" s="37" customFormat="1" ht="22.5" customHeight="1">
      <c r="A128" s="11">
        <v>7761</v>
      </c>
      <c r="B128" s="11" t="s">
        <v>123</v>
      </c>
      <c r="C128" s="27">
        <v>6000000</v>
      </c>
      <c r="D128" s="27"/>
      <c r="E128" s="60">
        <f t="shared" si="1"/>
        <v>0</v>
      </c>
      <c r="F128" s="92"/>
      <c r="G128" s="85"/>
      <c r="H128" s="67"/>
      <c r="I128" s="67"/>
      <c r="J128" s="67"/>
      <c r="K128" s="67"/>
      <c r="L128" s="67"/>
      <c r="M128" s="67"/>
      <c r="N128" s="67"/>
    </row>
    <row r="129" spans="1:14" s="37" customFormat="1" ht="22.5" customHeight="1">
      <c r="A129" s="25">
        <v>7764</v>
      </c>
      <c r="B129" s="11" t="s">
        <v>166</v>
      </c>
      <c r="C129" s="27">
        <v>64050000</v>
      </c>
      <c r="D129" s="27"/>
      <c r="E129" s="60">
        <f t="shared" si="1"/>
        <v>0</v>
      </c>
      <c r="F129" s="90"/>
      <c r="G129" s="85"/>
      <c r="H129" s="67"/>
      <c r="I129" s="67"/>
      <c r="J129" s="67"/>
      <c r="K129" s="67"/>
      <c r="L129" s="67"/>
      <c r="M129" s="67"/>
      <c r="N129" s="67"/>
    </row>
    <row r="130" spans="1:14" s="37" customFormat="1" ht="22.5" customHeight="1">
      <c r="A130" s="25">
        <v>7799</v>
      </c>
      <c r="B130" s="11" t="s">
        <v>129</v>
      </c>
      <c r="C130" s="27">
        <v>29500000</v>
      </c>
      <c r="D130" s="27"/>
      <c r="E130" s="60">
        <f t="shared" si="1"/>
        <v>0</v>
      </c>
      <c r="F130" s="92"/>
      <c r="G130" s="85"/>
      <c r="H130" s="67"/>
      <c r="I130" s="67"/>
      <c r="J130" s="67"/>
      <c r="K130" s="67"/>
      <c r="L130" s="67"/>
      <c r="M130" s="67"/>
      <c r="N130" s="67"/>
    </row>
    <row r="131" spans="1:14" s="37" customFormat="1" ht="35.25" customHeight="1">
      <c r="A131" s="47">
        <v>1.2</v>
      </c>
      <c r="B131" s="48" t="s">
        <v>5</v>
      </c>
      <c r="C131" s="101">
        <f>C132+C135+C137+C139+C141+C144+C150</f>
        <v>1043422000</v>
      </c>
      <c r="D131" s="101">
        <f>D132+D135+D137+D139+D141+D144+D150</f>
        <v>209792759</v>
      </c>
      <c r="E131" s="103">
        <f>E132+E135+E137+E139+E141+E144+E150</f>
        <v>2.263310591485431</v>
      </c>
      <c r="F131" s="91">
        <f>G131/D131</f>
        <v>1.12004761327344</v>
      </c>
      <c r="G131" s="89">
        <f>G132+G135+G137+G139+G141+G144+G150</f>
        <v>234977879</v>
      </c>
      <c r="H131" s="67">
        <v>209792759</v>
      </c>
      <c r="I131" s="67">
        <f>H131-D131</f>
        <v>0</v>
      </c>
      <c r="J131" s="67"/>
      <c r="K131" s="67"/>
      <c r="L131" s="67"/>
      <c r="M131" s="67"/>
      <c r="N131" s="67"/>
    </row>
    <row r="132" spans="1:14" s="37" customFormat="1" ht="22.5" customHeight="1">
      <c r="A132" s="18">
        <v>6100</v>
      </c>
      <c r="B132" s="28" t="s">
        <v>35</v>
      </c>
      <c r="C132" s="101">
        <f>SUM(C133:C134)</f>
        <v>321285280</v>
      </c>
      <c r="D132" s="101">
        <f>SUM(D133:D134)</f>
        <v>187972239</v>
      </c>
      <c r="E132" s="60">
        <f t="shared" si="1"/>
        <v>0.5850633399700105</v>
      </c>
      <c r="F132" s="91"/>
      <c r="G132" s="85">
        <v>215851289</v>
      </c>
      <c r="H132" s="67"/>
      <c r="I132" s="67"/>
      <c r="J132" s="67"/>
      <c r="K132" s="67"/>
      <c r="L132" s="67"/>
      <c r="M132" s="67"/>
      <c r="N132" s="67"/>
    </row>
    <row r="133" spans="1:14" s="37" customFormat="1" ht="22.5" customHeight="1">
      <c r="A133" s="11">
        <v>6105</v>
      </c>
      <c r="B133" s="11" t="s">
        <v>78</v>
      </c>
      <c r="C133" s="12">
        <v>281285280</v>
      </c>
      <c r="D133" s="12">
        <v>157610038</v>
      </c>
      <c r="E133" s="60">
        <f t="shared" si="1"/>
        <v>0.5603209595610549</v>
      </c>
      <c r="F133" s="95"/>
      <c r="G133" s="85"/>
      <c r="H133" s="67"/>
      <c r="I133" s="67"/>
      <c r="J133" s="67"/>
      <c r="K133" s="67"/>
      <c r="L133" s="67"/>
      <c r="M133" s="67"/>
      <c r="N133" s="67"/>
    </row>
    <row r="134" spans="1:14" s="37" customFormat="1" ht="22.5" customHeight="1">
      <c r="A134" s="11">
        <v>6149</v>
      </c>
      <c r="B134" s="11" t="s">
        <v>99</v>
      </c>
      <c r="C134" s="12">
        <v>40000000</v>
      </c>
      <c r="D134" s="12">
        <v>30362201</v>
      </c>
      <c r="E134" s="60">
        <f t="shared" si="1"/>
        <v>0.759055025</v>
      </c>
      <c r="F134" s="95"/>
      <c r="G134" s="85"/>
      <c r="H134" s="67"/>
      <c r="I134" s="67"/>
      <c r="J134" s="67"/>
      <c r="K134" s="67"/>
      <c r="L134" s="67"/>
      <c r="M134" s="67"/>
      <c r="N134" s="67"/>
    </row>
    <row r="135" spans="1:14" s="37" customFormat="1" ht="22.5" customHeight="1">
      <c r="A135" s="18">
        <v>6400</v>
      </c>
      <c r="B135" s="44" t="s">
        <v>79</v>
      </c>
      <c r="C135" s="13">
        <f>SUM(C136:C136)</f>
        <v>56736720</v>
      </c>
      <c r="D135" s="13">
        <f>SUM(D136:D136)</f>
        <v>16070520</v>
      </c>
      <c r="E135" s="102">
        <f>SUM(E136:E136)</f>
        <v>0.2832472515154207</v>
      </c>
      <c r="F135" s="91">
        <f>G135/D135</f>
        <v>1.0781598853055159</v>
      </c>
      <c r="G135" s="85">
        <v>17326590</v>
      </c>
      <c r="H135" s="67"/>
      <c r="I135" s="67"/>
      <c r="J135" s="67"/>
      <c r="K135" s="67"/>
      <c r="L135" s="67"/>
      <c r="M135" s="67"/>
      <c r="N135" s="67"/>
    </row>
    <row r="136" spans="1:14" s="37" customFormat="1" ht="24.75" customHeight="1">
      <c r="A136" s="11">
        <v>6449</v>
      </c>
      <c r="B136" s="11" t="s">
        <v>124</v>
      </c>
      <c r="C136" s="27">
        <v>56736720</v>
      </c>
      <c r="D136" s="12">
        <v>16070520</v>
      </c>
      <c r="E136" s="60">
        <f t="shared" si="1"/>
        <v>0.2832472515154207</v>
      </c>
      <c r="F136" s="94"/>
      <c r="G136" s="85"/>
      <c r="H136" s="67"/>
      <c r="I136" s="67"/>
      <c r="J136" s="67"/>
      <c r="K136" s="67"/>
      <c r="L136" s="67"/>
      <c r="M136" s="67"/>
      <c r="N136" s="67"/>
    </row>
    <row r="137" spans="1:14" s="37" customFormat="1" ht="24.75" customHeight="1">
      <c r="A137" s="45" t="s">
        <v>85</v>
      </c>
      <c r="B137" s="18" t="s">
        <v>86</v>
      </c>
      <c r="C137" s="13">
        <f>SUM(C138)</f>
        <v>30000000</v>
      </c>
      <c r="D137" s="13">
        <f>SUM(D138)</f>
        <v>0</v>
      </c>
      <c r="E137" s="59"/>
      <c r="F137" s="91"/>
      <c r="G137" s="85"/>
      <c r="H137" s="67"/>
      <c r="I137" s="67"/>
      <c r="J137" s="67"/>
      <c r="K137" s="67"/>
      <c r="L137" s="67"/>
      <c r="M137" s="67"/>
      <c r="N137" s="67"/>
    </row>
    <row r="138" spans="1:14" s="37" customFormat="1" ht="24.75" customHeight="1">
      <c r="A138" s="11">
        <v>6758</v>
      </c>
      <c r="B138" s="11" t="s">
        <v>80</v>
      </c>
      <c r="C138" s="74">
        <v>30000000</v>
      </c>
      <c r="D138" s="12"/>
      <c r="E138" s="60">
        <f>(D138/C138)</f>
        <v>0</v>
      </c>
      <c r="F138" s="90"/>
      <c r="G138" s="85"/>
      <c r="H138" s="67"/>
      <c r="I138" s="67"/>
      <c r="J138" s="67"/>
      <c r="K138" s="67"/>
      <c r="L138" s="67"/>
      <c r="M138" s="67"/>
      <c r="N138" s="67"/>
    </row>
    <row r="139" spans="1:14" s="52" customFormat="1" ht="24.75" customHeight="1">
      <c r="A139" s="18">
        <v>6900</v>
      </c>
      <c r="B139" s="18" t="s">
        <v>66</v>
      </c>
      <c r="C139" s="50">
        <f>C140</f>
        <v>5000000</v>
      </c>
      <c r="D139" s="51">
        <f>D140</f>
        <v>0</v>
      </c>
      <c r="E139" s="51"/>
      <c r="F139" s="91"/>
      <c r="G139" s="88"/>
      <c r="H139" s="69"/>
      <c r="I139" s="69"/>
      <c r="J139" s="69"/>
      <c r="K139" s="69"/>
      <c r="L139" s="69"/>
      <c r="M139" s="69"/>
      <c r="N139" s="69"/>
    </row>
    <row r="140" spans="1:14" s="37" customFormat="1" ht="24.75" customHeight="1">
      <c r="A140" s="11">
        <v>6905</v>
      </c>
      <c r="B140" s="11" t="s">
        <v>125</v>
      </c>
      <c r="C140" s="27">
        <v>5000000</v>
      </c>
      <c r="D140" s="27"/>
      <c r="E140" s="60">
        <f>(D140/C140)</f>
        <v>0</v>
      </c>
      <c r="F140" s="90"/>
      <c r="G140" s="85"/>
      <c r="H140" s="67"/>
      <c r="I140" s="67"/>
      <c r="J140" s="67"/>
      <c r="K140" s="67"/>
      <c r="L140" s="67"/>
      <c r="M140" s="67"/>
      <c r="N140" s="67"/>
    </row>
    <row r="141" spans="1:14" s="37" customFormat="1" ht="24.75" customHeight="1">
      <c r="A141" s="18">
        <v>7000</v>
      </c>
      <c r="B141" s="18" t="s">
        <v>81</v>
      </c>
      <c r="C141" s="13">
        <f>C142+C143</f>
        <v>11800000</v>
      </c>
      <c r="D141" s="13">
        <f>D142+D143</f>
        <v>1800000</v>
      </c>
      <c r="E141" s="102">
        <f>E142+E143</f>
        <v>1</v>
      </c>
      <c r="F141" s="91">
        <f>G141/D141</f>
        <v>1</v>
      </c>
      <c r="G141" s="85">
        <v>1800000</v>
      </c>
      <c r="H141" s="67"/>
      <c r="I141" s="67"/>
      <c r="J141" s="67"/>
      <c r="K141" s="67"/>
      <c r="L141" s="67"/>
      <c r="M141" s="67"/>
      <c r="N141" s="67"/>
    </row>
    <row r="142" spans="1:14" s="37" customFormat="1" ht="24.75" customHeight="1">
      <c r="A142" s="11">
        <v>7004</v>
      </c>
      <c r="B142" s="11" t="s">
        <v>82</v>
      </c>
      <c r="C142" s="27">
        <v>1800000</v>
      </c>
      <c r="D142" s="27">
        <v>1800000</v>
      </c>
      <c r="E142" s="60">
        <f>(D142/C142)</f>
        <v>1</v>
      </c>
      <c r="F142" s="90"/>
      <c r="G142" s="85"/>
      <c r="H142" s="67"/>
      <c r="I142" s="67"/>
      <c r="J142" s="67"/>
      <c r="K142" s="67"/>
      <c r="L142" s="67"/>
      <c r="M142" s="67"/>
      <c r="N142" s="67"/>
    </row>
    <row r="143" spans="1:14" s="37" customFormat="1" ht="24.75" customHeight="1">
      <c r="A143" s="11">
        <v>7049</v>
      </c>
      <c r="B143" s="11" t="s">
        <v>76</v>
      </c>
      <c r="C143" s="27">
        <v>10000000</v>
      </c>
      <c r="D143" s="27"/>
      <c r="E143" s="60">
        <f>(D143/C143)</f>
        <v>0</v>
      </c>
      <c r="F143" s="90"/>
      <c r="G143" s="85"/>
      <c r="H143" s="67"/>
      <c r="I143" s="67"/>
      <c r="J143" s="67"/>
      <c r="K143" s="67"/>
      <c r="L143" s="67"/>
      <c r="M143" s="67"/>
      <c r="N143" s="67"/>
    </row>
    <row r="144" spans="1:14" s="37" customFormat="1" ht="24.75" customHeight="1">
      <c r="A144" s="18">
        <v>7750</v>
      </c>
      <c r="B144" s="18" t="s">
        <v>65</v>
      </c>
      <c r="C144" s="13">
        <f>SUM(C145:C149)</f>
        <v>168600000</v>
      </c>
      <c r="D144" s="13">
        <f>SUM(D145:D149)</f>
        <v>3950000</v>
      </c>
      <c r="E144" s="59">
        <f>SUM(E145:E149)</f>
        <v>0.395</v>
      </c>
      <c r="F144" s="91">
        <f>G144/D144</f>
        <v>0</v>
      </c>
      <c r="G144" s="85">
        <v>0</v>
      </c>
      <c r="H144" s="67"/>
      <c r="I144" s="67"/>
      <c r="J144" s="67"/>
      <c r="K144" s="67"/>
      <c r="L144" s="67"/>
      <c r="M144" s="67"/>
      <c r="N144" s="67"/>
    </row>
    <row r="145" spans="1:14" s="37" customFormat="1" ht="36.75" customHeight="1">
      <c r="A145" s="11">
        <v>7753</v>
      </c>
      <c r="B145" s="29" t="s">
        <v>137</v>
      </c>
      <c r="C145" s="27">
        <v>45000000</v>
      </c>
      <c r="D145" s="13"/>
      <c r="E145" s="59"/>
      <c r="F145" s="91"/>
      <c r="G145" s="85"/>
      <c r="H145" s="67"/>
      <c r="I145" s="67"/>
      <c r="J145" s="67"/>
      <c r="K145" s="67"/>
      <c r="L145" s="67"/>
      <c r="M145" s="67"/>
      <c r="N145" s="67"/>
    </row>
    <row r="146" spans="1:14" s="37" customFormat="1" ht="28.5" customHeight="1">
      <c r="A146" s="11">
        <v>7799</v>
      </c>
      <c r="B146" s="11" t="s">
        <v>126</v>
      </c>
      <c r="C146" s="27">
        <v>100000000</v>
      </c>
      <c r="D146" s="27"/>
      <c r="E146" s="60">
        <f>(D146/C146)</f>
        <v>0</v>
      </c>
      <c r="F146" s="94"/>
      <c r="G146" s="85"/>
      <c r="H146" s="67"/>
      <c r="I146" s="67"/>
      <c r="J146" s="67"/>
      <c r="K146" s="67"/>
      <c r="L146" s="67"/>
      <c r="M146" s="67"/>
      <c r="N146" s="67"/>
    </row>
    <row r="147" spans="1:14" s="37" customFormat="1" ht="28.5" customHeight="1">
      <c r="A147" s="11">
        <v>7799</v>
      </c>
      <c r="B147" s="11" t="s">
        <v>83</v>
      </c>
      <c r="C147" s="27">
        <v>10000000</v>
      </c>
      <c r="D147" s="27">
        <v>3950000</v>
      </c>
      <c r="E147" s="60">
        <f>(D147/C147)</f>
        <v>0.395</v>
      </c>
      <c r="F147" s="94"/>
      <c r="G147" s="85"/>
      <c r="H147" s="67"/>
      <c r="I147" s="67"/>
      <c r="J147" s="67"/>
      <c r="K147" s="67"/>
      <c r="L147" s="67"/>
      <c r="M147" s="67"/>
      <c r="N147" s="67"/>
    </row>
    <row r="148" spans="1:14" s="37" customFormat="1" ht="28.5" customHeight="1">
      <c r="A148" s="11">
        <v>7799</v>
      </c>
      <c r="B148" s="11" t="s">
        <v>84</v>
      </c>
      <c r="C148" s="27">
        <v>10000000</v>
      </c>
      <c r="D148" s="27"/>
      <c r="E148" s="60">
        <f>(D148/C148)</f>
        <v>0</v>
      </c>
      <c r="F148" s="94"/>
      <c r="G148" s="85"/>
      <c r="H148" s="67"/>
      <c r="I148" s="67"/>
      <c r="J148" s="67"/>
      <c r="K148" s="67"/>
      <c r="L148" s="67"/>
      <c r="M148" s="67"/>
      <c r="N148" s="67"/>
    </row>
    <row r="149" spans="1:14" s="37" customFormat="1" ht="28.5" customHeight="1">
      <c r="A149" s="11">
        <v>7799</v>
      </c>
      <c r="B149" s="11" t="s">
        <v>131</v>
      </c>
      <c r="C149" s="27">
        <v>3600000</v>
      </c>
      <c r="D149" s="27"/>
      <c r="E149" s="60">
        <f>(D149/C149)</f>
        <v>0</v>
      </c>
      <c r="F149" s="94"/>
      <c r="G149" s="85"/>
      <c r="H149" s="67"/>
      <c r="I149" s="67"/>
      <c r="J149" s="67"/>
      <c r="K149" s="67"/>
      <c r="L149" s="67"/>
      <c r="M149" s="67"/>
      <c r="N149" s="67"/>
    </row>
    <row r="150" spans="1:14" s="37" customFormat="1" ht="28.5" customHeight="1">
      <c r="A150" s="46">
        <v>6950</v>
      </c>
      <c r="B150" s="46" t="s">
        <v>127</v>
      </c>
      <c r="C150" s="13">
        <f>SUM(C151:C151)</f>
        <v>450000000</v>
      </c>
      <c r="D150" s="13"/>
      <c r="E150" s="59">
        <f>E151</f>
        <v>0</v>
      </c>
      <c r="F150" s="91"/>
      <c r="G150" s="85"/>
      <c r="H150" s="67"/>
      <c r="I150" s="67"/>
      <c r="J150" s="67"/>
      <c r="K150" s="67"/>
      <c r="L150" s="67"/>
      <c r="M150" s="67"/>
      <c r="N150" s="67"/>
    </row>
    <row r="151" spans="1:14" s="37" customFormat="1" ht="28.5" customHeight="1">
      <c r="A151" s="11">
        <v>6954</v>
      </c>
      <c r="B151" s="11" t="s">
        <v>128</v>
      </c>
      <c r="C151" s="27">
        <v>450000000</v>
      </c>
      <c r="D151" s="27"/>
      <c r="E151" s="60">
        <f>(D151/C151)</f>
        <v>0</v>
      </c>
      <c r="F151" s="90"/>
      <c r="G151" s="85"/>
      <c r="H151" s="67"/>
      <c r="I151" s="67"/>
      <c r="J151" s="67"/>
      <c r="K151" s="67"/>
      <c r="L151" s="67"/>
      <c r="M151" s="67"/>
      <c r="N151" s="67"/>
    </row>
    <row r="152" ht="15.75">
      <c r="A152" s="34"/>
    </row>
    <row r="153" spans="1:6" ht="15.75">
      <c r="A153" s="153"/>
      <c r="D153" s="154" t="s">
        <v>156</v>
      </c>
      <c r="E153" s="154"/>
      <c r="F153" s="154"/>
    </row>
    <row r="154" spans="1:6" ht="15.75">
      <c r="A154" s="153"/>
      <c r="D154" s="155" t="s">
        <v>29</v>
      </c>
      <c r="E154" s="155"/>
      <c r="F154" s="155"/>
    </row>
    <row r="155" spans="1:6" ht="15.75">
      <c r="A155" s="40"/>
      <c r="D155" s="171" t="s">
        <v>113</v>
      </c>
      <c r="E155" s="171"/>
      <c r="F155" s="171"/>
    </row>
    <row r="159" spans="4:6" ht="15.75">
      <c r="D159" s="151" t="s">
        <v>132</v>
      </c>
      <c r="E159" s="151"/>
      <c r="F159" s="151"/>
    </row>
  </sheetData>
  <sheetProtection/>
  <mergeCells count="23">
    <mergeCell ref="A1:F1"/>
    <mergeCell ref="A2:B2"/>
    <mergeCell ref="C2:F2"/>
    <mergeCell ref="A3:B3"/>
    <mergeCell ref="C3:F3"/>
    <mergeCell ref="C4:F4"/>
    <mergeCell ref="F11:F12"/>
    <mergeCell ref="A5:F5"/>
    <mergeCell ref="A6:F6"/>
    <mergeCell ref="A7:F7"/>
    <mergeCell ref="A8:F8"/>
    <mergeCell ref="A9:F9"/>
    <mergeCell ref="A10:F10"/>
    <mergeCell ref="D155:F155"/>
    <mergeCell ref="A153:A154"/>
    <mergeCell ref="D153:F153"/>
    <mergeCell ref="D154:F154"/>
    <mergeCell ref="D159:F159"/>
    <mergeCell ref="A11:A12"/>
    <mergeCell ref="B11:B12"/>
    <mergeCell ref="C11:C12"/>
    <mergeCell ref="D11:D12"/>
    <mergeCell ref="E11:E12"/>
  </mergeCells>
  <printOptions/>
  <pageMargins left="0.55" right="0.32" top="0.51" bottom="0.46"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163"/>
  <sheetViews>
    <sheetView zoomScalePageLayoutView="0" workbookViewId="0" topLeftCell="A53">
      <selection activeCell="C138" sqref="C138"/>
    </sheetView>
  </sheetViews>
  <sheetFormatPr defaultColWidth="9.00390625" defaultRowHeight="15.75"/>
  <cols>
    <col min="1" max="1" width="5.125" style="14" customWidth="1"/>
    <col min="2" max="2" width="31.00390625" style="14" customWidth="1"/>
    <col min="3" max="3" width="15.125" style="14" customWidth="1"/>
    <col min="4" max="4" width="15.125" style="35" customWidth="1"/>
    <col min="5" max="5" width="13.125" style="65" customWidth="1"/>
    <col min="6" max="6" width="10.25390625" style="96" customWidth="1"/>
    <col min="7" max="7" width="0.12890625" style="84" customWidth="1"/>
    <col min="8" max="8" width="17.125" style="66" hidden="1" customWidth="1"/>
    <col min="9" max="9" width="16.75390625" style="66" hidden="1" customWidth="1"/>
    <col min="10" max="14" width="9.00390625" style="66" customWidth="1"/>
    <col min="15" max="16384" width="9.00390625" style="36" customWidth="1"/>
  </cols>
  <sheetData>
    <row r="1" spans="1:6" ht="22.5" customHeight="1">
      <c r="A1" s="168" t="s">
        <v>104</v>
      </c>
      <c r="B1" s="168"/>
      <c r="C1" s="168"/>
      <c r="D1" s="168"/>
      <c r="E1" s="168"/>
      <c r="F1" s="168"/>
    </row>
    <row r="2" spans="1:6" ht="21.75" customHeight="1">
      <c r="A2" s="155" t="s">
        <v>114</v>
      </c>
      <c r="B2" s="155"/>
      <c r="C2" s="155" t="s">
        <v>105</v>
      </c>
      <c r="D2" s="155"/>
      <c r="E2" s="155"/>
      <c r="F2" s="155"/>
    </row>
    <row r="3" spans="1:6" ht="21.75" customHeight="1">
      <c r="A3" s="155" t="s">
        <v>89</v>
      </c>
      <c r="B3" s="155"/>
      <c r="C3" s="166" t="s">
        <v>111</v>
      </c>
      <c r="D3" s="155"/>
      <c r="E3" s="155"/>
      <c r="F3" s="155"/>
    </row>
    <row r="4" spans="1:6" ht="21.75" customHeight="1">
      <c r="A4" s="41"/>
      <c r="B4" s="41"/>
      <c r="C4" s="167" t="s">
        <v>184</v>
      </c>
      <c r="D4" s="167"/>
      <c r="E4" s="167"/>
      <c r="F4" s="167"/>
    </row>
    <row r="5" spans="1:6" ht="27.75" customHeight="1">
      <c r="A5" s="169" t="s">
        <v>149</v>
      </c>
      <c r="B5" s="170"/>
      <c r="C5" s="170"/>
      <c r="D5" s="170"/>
      <c r="E5" s="170"/>
      <c r="F5" s="170"/>
    </row>
    <row r="6" spans="1:6" ht="15.75">
      <c r="A6" s="157" t="s">
        <v>25</v>
      </c>
      <c r="B6" s="157"/>
      <c r="C6" s="157"/>
      <c r="D6" s="157"/>
      <c r="E6" s="157"/>
      <c r="F6" s="157"/>
    </row>
    <row r="7" spans="1:6" ht="39.75" customHeight="1">
      <c r="A7" s="162" t="s">
        <v>108</v>
      </c>
      <c r="B7" s="163"/>
      <c r="C7" s="163"/>
      <c r="D7" s="163"/>
      <c r="E7" s="163"/>
      <c r="F7" s="163"/>
    </row>
    <row r="8" spans="1:6" ht="66" customHeight="1">
      <c r="A8" s="164" t="s">
        <v>109</v>
      </c>
      <c r="B8" s="165"/>
      <c r="C8" s="165"/>
      <c r="D8" s="165"/>
      <c r="E8" s="165"/>
      <c r="F8" s="165"/>
    </row>
    <row r="9" spans="1:6" ht="29.25" customHeight="1">
      <c r="A9" s="162" t="s">
        <v>186</v>
      </c>
      <c r="B9" s="162"/>
      <c r="C9" s="162"/>
      <c r="D9" s="162"/>
      <c r="E9" s="162"/>
      <c r="F9" s="162"/>
    </row>
    <row r="10" spans="1:6" ht="15.75">
      <c r="A10" s="158" t="s">
        <v>87</v>
      </c>
      <c r="B10" s="158"/>
      <c r="C10" s="158"/>
      <c r="D10" s="158"/>
      <c r="E10" s="158"/>
      <c r="F10" s="158"/>
    </row>
    <row r="11" spans="1:6" ht="15.75" customHeight="1">
      <c r="A11" s="152" t="s">
        <v>2</v>
      </c>
      <c r="B11" s="152" t="s">
        <v>3</v>
      </c>
      <c r="C11" s="152" t="s">
        <v>26</v>
      </c>
      <c r="D11" s="152" t="s">
        <v>175</v>
      </c>
      <c r="E11" s="159" t="s">
        <v>106</v>
      </c>
      <c r="F11" s="172" t="s">
        <v>107</v>
      </c>
    </row>
    <row r="12" spans="1:6" ht="79.5" customHeight="1">
      <c r="A12" s="152"/>
      <c r="B12" s="152"/>
      <c r="C12" s="152"/>
      <c r="D12" s="152"/>
      <c r="E12" s="159"/>
      <c r="F12" s="173"/>
    </row>
    <row r="13" spans="1:6" ht="22.5" customHeight="1" hidden="1">
      <c r="A13" s="15">
        <v>1</v>
      </c>
      <c r="B13" s="16" t="s">
        <v>9</v>
      </c>
      <c r="C13" s="15"/>
      <c r="D13" s="15"/>
      <c r="E13" s="57"/>
      <c r="F13" s="90"/>
    </row>
    <row r="14" spans="1:6" ht="22.5" customHeight="1" hidden="1">
      <c r="A14" s="15">
        <v>1.1</v>
      </c>
      <c r="B14" s="16" t="s">
        <v>10</v>
      </c>
      <c r="C14" s="15"/>
      <c r="D14" s="15"/>
      <c r="E14" s="57"/>
      <c r="F14" s="90"/>
    </row>
    <row r="15" spans="1:6" ht="22.5" customHeight="1" hidden="1">
      <c r="A15" s="15"/>
      <c r="B15" s="16" t="s">
        <v>11</v>
      </c>
      <c r="C15" s="15"/>
      <c r="D15" s="15"/>
      <c r="E15" s="57"/>
      <c r="F15" s="90"/>
    </row>
    <row r="16" spans="1:6" ht="22.5" customHeight="1" hidden="1">
      <c r="A16" s="15"/>
      <c r="B16" s="16" t="s">
        <v>12</v>
      </c>
      <c r="C16" s="15"/>
      <c r="D16" s="15"/>
      <c r="E16" s="57"/>
      <c r="F16" s="90"/>
    </row>
    <row r="17" spans="1:6" ht="22.5" customHeight="1" hidden="1">
      <c r="A17" s="15"/>
      <c r="B17" s="16" t="s">
        <v>27</v>
      </c>
      <c r="C17" s="15"/>
      <c r="D17" s="15"/>
      <c r="E17" s="57"/>
      <c r="F17" s="90"/>
    </row>
    <row r="18" spans="1:6" ht="22.5" customHeight="1" hidden="1">
      <c r="A18" s="15">
        <v>1.2</v>
      </c>
      <c r="B18" s="16" t="s">
        <v>13</v>
      </c>
      <c r="C18" s="15"/>
      <c r="D18" s="15"/>
      <c r="E18" s="57"/>
      <c r="F18" s="90"/>
    </row>
    <row r="19" spans="1:6" ht="22.5" customHeight="1" hidden="1">
      <c r="A19" s="15"/>
      <c r="B19" s="16" t="s">
        <v>14</v>
      </c>
      <c r="C19" s="15"/>
      <c r="D19" s="15"/>
      <c r="E19" s="57"/>
      <c r="F19" s="90"/>
    </row>
    <row r="20" spans="1:6" ht="22.5" customHeight="1" hidden="1">
      <c r="A20" s="15"/>
      <c r="B20" s="16" t="s">
        <v>15</v>
      </c>
      <c r="C20" s="15"/>
      <c r="D20" s="15"/>
      <c r="E20" s="57"/>
      <c r="F20" s="90"/>
    </row>
    <row r="21" spans="1:6" ht="22.5" customHeight="1" hidden="1">
      <c r="A21" s="15"/>
      <c r="B21" s="16" t="s">
        <v>27</v>
      </c>
      <c r="C21" s="15"/>
      <c r="D21" s="15"/>
      <c r="E21" s="57"/>
      <c r="F21" s="90"/>
    </row>
    <row r="22" spans="1:6" ht="22.5" customHeight="1" hidden="1">
      <c r="A22" s="15">
        <v>2</v>
      </c>
      <c r="B22" s="16" t="s">
        <v>16</v>
      </c>
      <c r="C22" s="15"/>
      <c r="D22" s="15"/>
      <c r="E22" s="57"/>
      <c r="F22" s="90"/>
    </row>
    <row r="23" spans="1:6" ht="22.5" customHeight="1" hidden="1">
      <c r="A23" s="15">
        <v>2.1</v>
      </c>
      <c r="B23" s="16" t="s">
        <v>28</v>
      </c>
      <c r="C23" s="15"/>
      <c r="D23" s="15"/>
      <c r="E23" s="57"/>
      <c r="F23" s="90"/>
    </row>
    <row r="24" spans="1:6" ht="22.5" customHeight="1" hidden="1">
      <c r="A24" s="15" t="s">
        <v>17</v>
      </c>
      <c r="B24" s="16" t="s">
        <v>18</v>
      </c>
      <c r="C24" s="15"/>
      <c r="D24" s="15"/>
      <c r="E24" s="57"/>
      <c r="F24" s="90"/>
    </row>
    <row r="25" spans="1:6" ht="22.5" customHeight="1" hidden="1">
      <c r="A25" s="15" t="s">
        <v>19</v>
      </c>
      <c r="B25" s="16" t="s">
        <v>6</v>
      </c>
      <c r="C25" s="15"/>
      <c r="D25" s="15"/>
      <c r="E25" s="57"/>
      <c r="F25" s="90"/>
    </row>
    <row r="26" spans="1:6" ht="22.5" customHeight="1" hidden="1">
      <c r="A26" s="15">
        <v>2.2</v>
      </c>
      <c r="B26" s="16" t="s">
        <v>4</v>
      </c>
      <c r="C26" s="15"/>
      <c r="D26" s="15"/>
      <c r="E26" s="57"/>
      <c r="F26" s="90"/>
    </row>
    <row r="27" spans="1:6" ht="22.5" customHeight="1" hidden="1">
      <c r="A27" s="15" t="s">
        <v>17</v>
      </c>
      <c r="B27" s="16" t="s">
        <v>20</v>
      </c>
      <c r="C27" s="15"/>
      <c r="D27" s="15"/>
      <c r="E27" s="57"/>
      <c r="F27" s="90"/>
    </row>
    <row r="28" spans="1:6" ht="22.5" customHeight="1" hidden="1">
      <c r="A28" s="15" t="s">
        <v>19</v>
      </c>
      <c r="B28" s="16" t="s">
        <v>5</v>
      </c>
      <c r="C28" s="15"/>
      <c r="D28" s="15"/>
      <c r="E28" s="57"/>
      <c r="F28" s="90"/>
    </row>
    <row r="29" spans="1:6" ht="22.5" customHeight="1" hidden="1">
      <c r="A29" s="15">
        <v>3</v>
      </c>
      <c r="B29" s="16" t="s">
        <v>21</v>
      </c>
      <c r="C29" s="15"/>
      <c r="D29" s="15"/>
      <c r="E29" s="57"/>
      <c r="F29" s="90"/>
    </row>
    <row r="30" spans="1:6" ht="22.5" customHeight="1" hidden="1">
      <c r="A30" s="15">
        <v>3.1</v>
      </c>
      <c r="B30" s="16" t="s">
        <v>10</v>
      </c>
      <c r="C30" s="15"/>
      <c r="D30" s="15"/>
      <c r="E30" s="57"/>
      <c r="F30" s="90"/>
    </row>
    <row r="31" spans="1:6" ht="22.5" customHeight="1" hidden="1">
      <c r="A31" s="15"/>
      <c r="B31" s="16" t="s">
        <v>11</v>
      </c>
      <c r="C31" s="15"/>
      <c r="D31" s="15"/>
      <c r="E31" s="57"/>
      <c r="F31" s="90"/>
    </row>
    <row r="32" spans="1:6" ht="22.5" customHeight="1" hidden="1">
      <c r="A32" s="15"/>
      <c r="B32" s="16" t="s">
        <v>12</v>
      </c>
      <c r="C32" s="15"/>
      <c r="D32" s="15"/>
      <c r="E32" s="57"/>
      <c r="F32" s="90"/>
    </row>
    <row r="33" spans="1:6" ht="22.5" customHeight="1" hidden="1">
      <c r="A33" s="15"/>
      <c r="B33" s="16" t="s">
        <v>27</v>
      </c>
      <c r="C33" s="15"/>
      <c r="D33" s="15"/>
      <c r="E33" s="57"/>
      <c r="F33" s="90"/>
    </row>
    <row r="34" spans="1:6" ht="22.5" customHeight="1" hidden="1">
      <c r="A34" s="15">
        <v>3.2</v>
      </c>
      <c r="B34" s="16" t="s">
        <v>13</v>
      </c>
      <c r="C34" s="15"/>
      <c r="D34" s="15"/>
      <c r="E34" s="57"/>
      <c r="F34" s="90"/>
    </row>
    <row r="35" spans="1:6" ht="22.5" customHeight="1" hidden="1">
      <c r="A35" s="15"/>
      <c r="B35" s="16" t="s">
        <v>14</v>
      </c>
      <c r="C35" s="15"/>
      <c r="D35" s="15"/>
      <c r="E35" s="57"/>
      <c r="F35" s="90"/>
    </row>
    <row r="36" spans="1:6" ht="22.5" customHeight="1" hidden="1">
      <c r="A36" s="15"/>
      <c r="B36" s="16" t="s">
        <v>15</v>
      </c>
      <c r="C36" s="15"/>
      <c r="D36" s="15"/>
      <c r="E36" s="57"/>
      <c r="F36" s="90"/>
    </row>
    <row r="37" spans="1:6" ht="22.5" customHeight="1" hidden="1">
      <c r="A37" s="15"/>
      <c r="B37" s="16" t="s">
        <v>27</v>
      </c>
      <c r="C37" s="15"/>
      <c r="D37" s="15"/>
      <c r="E37" s="57"/>
      <c r="F37" s="90"/>
    </row>
    <row r="38" spans="1:14" s="37" customFormat="1" ht="22.5" customHeight="1">
      <c r="A38" s="47" t="s">
        <v>1</v>
      </c>
      <c r="B38" s="48" t="s">
        <v>22</v>
      </c>
      <c r="C38" s="17">
        <f>C39</f>
        <v>8070220444</v>
      </c>
      <c r="D38" s="17">
        <f>D39</f>
        <v>2857237191</v>
      </c>
      <c r="E38" s="58">
        <f>D38/C38</f>
        <v>0.35404698184227196</v>
      </c>
      <c r="F38" s="93">
        <f>G38/D38</f>
        <v>2.8247269864127986</v>
      </c>
      <c r="G38" s="86">
        <v>8070915000</v>
      </c>
      <c r="H38" s="67">
        <v>2857237191</v>
      </c>
      <c r="I38" s="67">
        <f>H38-D38</f>
        <v>0</v>
      </c>
      <c r="J38" s="67"/>
      <c r="K38" s="67"/>
      <c r="L38" s="67"/>
      <c r="M38" s="67"/>
      <c r="N38" s="67"/>
    </row>
    <row r="39" spans="1:14" s="37" customFormat="1" ht="36" customHeight="1">
      <c r="A39" s="47">
        <v>1</v>
      </c>
      <c r="B39" s="48" t="s">
        <v>7</v>
      </c>
      <c r="C39" s="17">
        <f>C40+C63+C133</f>
        <v>8070220444</v>
      </c>
      <c r="D39" s="17">
        <f>D40+D63+D133</f>
        <v>2857237191</v>
      </c>
      <c r="E39" s="58">
        <f>D39/C39</f>
        <v>0.35404698184227196</v>
      </c>
      <c r="F39" s="93">
        <f>G39/D39</f>
        <v>2.12880296363187</v>
      </c>
      <c r="G39" s="86">
        <f>G40+G63+G133</f>
        <v>6082495000</v>
      </c>
      <c r="H39" s="67"/>
      <c r="I39" s="67"/>
      <c r="J39" s="67"/>
      <c r="K39" s="67"/>
      <c r="L39" s="67"/>
      <c r="M39" s="67"/>
      <c r="N39" s="67"/>
    </row>
    <row r="40" spans="1:14" s="39" customFormat="1" ht="22.5" customHeight="1">
      <c r="A40" s="128">
        <v>1.1</v>
      </c>
      <c r="B40" s="129" t="s">
        <v>20</v>
      </c>
      <c r="C40" s="130">
        <f>C41+C44+C46+C51+C53+C56+C61+C79+C83+C87+C93+C97+C103+C107+C114+C119+C128</f>
        <v>6047215196</v>
      </c>
      <c r="D40" s="130">
        <f>D41+D44+D46+D51+D53+D56+D61+D79+D83+D87+D93+D97+D103+D107+D114+D119+D128</f>
        <v>2058752993</v>
      </c>
      <c r="E40" s="131">
        <f>D40/C40</f>
        <v>0.34044645779462024</v>
      </c>
      <c r="F40" s="132">
        <f>G40/D40</f>
        <v>2.8805174880928517</v>
      </c>
      <c r="G40" s="86">
        <v>5930274000</v>
      </c>
      <c r="H40" s="68">
        <f>G40-C40</f>
        <v>-116941196</v>
      </c>
      <c r="I40" s="68"/>
      <c r="J40" s="68"/>
      <c r="K40" s="68"/>
      <c r="L40" s="68"/>
      <c r="M40" s="68"/>
      <c r="N40" s="68"/>
    </row>
    <row r="41" spans="1:14" s="37" customFormat="1" ht="22.5" customHeight="1">
      <c r="A41" s="18">
        <v>6000</v>
      </c>
      <c r="B41" s="18" t="s">
        <v>35</v>
      </c>
      <c r="C41" s="19">
        <f>SUM(C42:C43)</f>
        <v>2374310400</v>
      </c>
      <c r="D41" s="19">
        <f>SUM(D42:D43)</f>
        <v>609973098</v>
      </c>
      <c r="E41" s="58">
        <f>D41/C41</f>
        <v>0.2569053726084003</v>
      </c>
      <c r="F41" s="91">
        <f>G41/D41</f>
        <v>1.3719834575393028</v>
      </c>
      <c r="G41" s="85">
        <v>836873000</v>
      </c>
      <c r="H41" s="67"/>
      <c r="I41" s="67"/>
      <c r="J41" s="67"/>
      <c r="K41" s="67"/>
      <c r="L41" s="67"/>
      <c r="M41" s="67"/>
      <c r="N41" s="67"/>
    </row>
    <row r="42" spans="1:14" s="37" customFormat="1" ht="22.5" customHeight="1">
      <c r="A42" s="11">
        <v>6001</v>
      </c>
      <c r="B42" s="11" t="s">
        <v>30</v>
      </c>
      <c r="C42" s="20">
        <f>2235499200+138811200</f>
        <v>2374310400</v>
      </c>
      <c r="D42" s="71">
        <v>609973098</v>
      </c>
      <c r="E42" s="60">
        <f>(D42/C42)</f>
        <v>0.2569053726084003</v>
      </c>
      <c r="F42" s="92"/>
      <c r="G42" s="85"/>
      <c r="H42" s="67"/>
      <c r="I42" s="67"/>
      <c r="J42" s="67"/>
      <c r="K42" s="67"/>
      <c r="L42" s="67"/>
      <c r="M42" s="67"/>
      <c r="N42" s="67"/>
    </row>
    <row r="43" spans="1:14" s="37" customFormat="1" ht="0.75" customHeight="1" hidden="1">
      <c r="A43" s="11">
        <v>6003</v>
      </c>
      <c r="B43" s="11" t="s">
        <v>31</v>
      </c>
      <c r="C43" s="20"/>
      <c r="D43" s="71"/>
      <c r="E43" s="60"/>
      <c r="F43" s="92"/>
      <c r="G43" s="85"/>
      <c r="H43" s="67"/>
      <c r="I43" s="67"/>
      <c r="J43" s="67"/>
      <c r="K43" s="67"/>
      <c r="L43" s="67"/>
      <c r="M43" s="67"/>
      <c r="N43" s="67"/>
    </row>
    <row r="44" spans="1:14" s="39" customFormat="1" ht="33.75" customHeight="1">
      <c r="A44" s="21">
        <v>6050</v>
      </c>
      <c r="B44" s="24" t="s">
        <v>138</v>
      </c>
      <c r="C44" s="75">
        <f>C45</f>
        <v>365052000</v>
      </c>
      <c r="D44" s="97">
        <f>D45</f>
        <v>81881500</v>
      </c>
      <c r="E44" s="107">
        <f>E45</f>
        <v>0.22430092151255163</v>
      </c>
      <c r="F44" s="91"/>
      <c r="G44" s="87"/>
      <c r="H44" s="68"/>
      <c r="I44" s="68"/>
      <c r="J44" s="68"/>
      <c r="K44" s="68"/>
      <c r="L44" s="68"/>
      <c r="M44" s="68"/>
      <c r="N44" s="68"/>
    </row>
    <row r="45" spans="1:14" s="37" customFormat="1" ht="35.25" customHeight="1">
      <c r="A45" s="11">
        <v>6051</v>
      </c>
      <c r="B45" s="29" t="s">
        <v>138</v>
      </c>
      <c r="C45" s="20">
        <v>365052000</v>
      </c>
      <c r="D45" s="71">
        <v>81881500</v>
      </c>
      <c r="E45" s="60">
        <f>(D45/C45)</f>
        <v>0.22430092151255163</v>
      </c>
      <c r="F45" s="92"/>
      <c r="G45" s="85"/>
      <c r="H45" s="67"/>
      <c r="I45" s="67"/>
      <c r="J45" s="67"/>
      <c r="K45" s="67"/>
      <c r="L45" s="67"/>
      <c r="M45" s="67"/>
      <c r="N45" s="67"/>
    </row>
    <row r="46" spans="1:14" s="37" customFormat="1" ht="22.5" customHeight="1">
      <c r="A46" s="18">
        <v>6100</v>
      </c>
      <c r="B46" s="18" t="s">
        <v>36</v>
      </c>
      <c r="C46" s="19">
        <f>SUM(C47:C50)+1</f>
        <v>1346005509</v>
      </c>
      <c r="D46" s="38">
        <f>SUM(D47:D50)</f>
        <v>449012731</v>
      </c>
      <c r="E46" s="104">
        <f>SUM(E47:E50)</f>
        <v>1.186799248585558</v>
      </c>
      <c r="F46" s="91">
        <f>G46/D46</f>
        <v>0.9466700176926609</v>
      </c>
      <c r="G46" s="85">
        <v>425066890</v>
      </c>
      <c r="H46" s="67"/>
      <c r="I46" s="67"/>
      <c r="J46" s="67"/>
      <c r="K46" s="67"/>
      <c r="L46" s="67"/>
      <c r="M46" s="67"/>
      <c r="N46" s="67"/>
    </row>
    <row r="47" spans="1:14" s="37" customFormat="1" ht="22.5" customHeight="1">
      <c r="A47" s="11">
        <v>6101</v>
      </c>
      <c r="B47" s="11" t="s">
        <v>32</v>
      </c>
      <c r="C47" s="20">
        <v>47190000</v>
      </c>
      <c r="D47" s="71">
        <v>8530502</v>
      </c>
      <c r="E47" s="60">
        <f>(D47/C47)</f>
        <v>0.18076927315109134</v>
      </c>
      <c r="F47" s="92"/>
      <c r="G47" s="85"/>
      <c r="H47" s="67"/>
      <c r="I47" s="67"/>
      <c r="J47" s="67"/>
      <c r="K47" s="67"/>
      <c r="L47" s="67"/>
      <c r="M47" s="67"/>
      <c r="N47" s="67"/>
    </row>
    <row r="48" spans="1:14" s="37" customFormat="1" ht="22.5" customHeight="1">
      <c r="A48" s="11">
        <v>6112</v>
      </c>
      <c r="B48" s="11" t="s">
        <v>33</v>
      </c>
      <c r="C48" s="20">
        <f>814246243+20045803</f>
        <v>834292046</v>
      </c>
      <c r="D48" s="71">
        <v>205707865</v>
      </c>
      <c r="E48" s="60">
        <f>(D48/C48)</f>
        <v>0.246565775121869</v>
      </c>
      <c r="F48" s="92"/>
      <c r="G48" s="85"/>
      <c r="H48" s="67"/>
      <c r="I48" s="67"/>
      <c r="J48" s="67"/>
      <c r="K48" s="67"/>
      <c r="L48" s="67"/>
      <c r="M48" s="67"/>
      <c r="N48" s="67"/>
    </row>
    <row r="49" spans="1:14" s="37" customFormat="1" ht="22.5" customHeight="1">
      <c r="A49" s="11">
        <v>6113</v>
      </c>
      <c r="B49" s="11" t="s">
        <v>34</v>
      </c>
      <c r="C49" s="20">
        <v>7260000</v>
      </c>
      <c r="D49" s="71">
        <v>1815000</v>
      </c>
      <c r="E49" s="60">
        <f>(D49/C49)</f>
        <v>0.25</v>
      </c>
      <c r="F49" s="92"/>
      <c r="G49" s="85"/>
      <c r="H49" s="67"/>
      <c r="I49" s="67"/>
      <c r="J49" s="67"/>
      <c r="K49" s="67"/>
      <c r="L49" s="67"/>
      <c r="M49" s="67"/>
      <c r="N49" s="67"/>
    </row>
    <row r="50" spans="1:14" s="37" customFormat="1" ht="22.5" customHeight="1">
      <c r="A50" s="11">
        <v>6115</v>
      </c>
      <c r="B50" s="11" t="s">
        <v>95</v>
      </c>
      <c r="C50" s="20">
        <f>439534542+17728920</f>
        <v>457263462</v>
      </c>
      <c r="D50" s="71">
        <v>232959364</v>
      </c>
      <c r="E50" s="60">
        <f>(D50/C50)</f>
        <v>0.5094642003125979</v>
      </c>
      <c r="F50" s="92"/>
      <c r="G50" s="85"/>
      <c r="H50" s="67"/>
      <c r="I50" s="67"/>
      <c r="J50" s="67"/>
      <c r="K50" s="67"/>
      <c r="L50" s="67"/>
      <c r="M50" s="67"/>
      <c r="N50" s="67"/>
    </row>
    <row r="51" spans="1:14" s="52" customFormat="1" ht="22.5" customHeight="1">
      <c r="A51" s="18">
        <v>6200</v>
      </c>
      <c r="B51" s="18" t="s">
        <v>176</v>
      </c>
      <c r="C51" s="19">
        <f>C52</f>
        <v>64050000</v>
      </c>
      <c r="D51" s="19">
        <f>D52</f>
        <v>32035000</v>
      </c>
      <c r="E51" s="59"/>
      <c r="F51" s="91"/>
      <c r="G51" s="88"/>
      <c r="H51" s="69"/>
      <c r="I51" s="69"/>
      <c r="J51" s="69"/>
      <c r="K51" s="69"/>
      <c r="L51" s="69"/>
      <c r="M51" s="69"/>
      <c r="N51" s="69"/>
    </row>
    <row r="52" spans="1:14" s="37" customFormat="1" ht="22.5" customHeight="1">
      <c r="A52" s="11">
        <v>6201</v>
      </c>
      <c r="B52" s="11" t="s">
        <v>177</v>
      </c>
      <c r="C52" s="20">
        <v>64050000</v>
      </c>
      <c r="D52" s="71">
        <v>32035000</v>
      </c>
      <c r="E52" s="60"/>
      <c r="F52" s="92"/>
      <c r="G52" s="85"/>
      <c r="H52" s="67"/>
      <c r="I52" s="67"/>
      <c r="J52" s="67"/>
      <c r="K52" s="67"/>
      <c r="L52" s="67"/>
      <c r="M52" s="67"/>
      <c r="N52" s="67"/>
    </row>
    <row r="53" spans="1:14" s="37" customFormat="1" ht="22.5" customHeight="1">
      <c r="A53" s="18">
        <v>6250</v>
      </c>
      <c r="B53" s="18" t="s">
        <v>37</v>
      </c>
      <c r="C53" s="19">
        <f>SUM(C54:C55)</f>
        <v>7350000</v>
      </c>
      <c r="D53" s="38">
        <f>SUM(D54:D55)</f>
        <v>1946000</v>
      </c>
      <c r="E53" s="104">
        <f>SUM(E54:E55)</f>
        <v>0.5464700120554551</v>
      </c>
      <c r="F53" s="91">
        <v>0.12</v>
      </c>
      <c r="G53" s="85"/>
      <c r="H53" s="67"/>
      <c r="I53" s="67"/>
      <c r="J53" s="67"/>
      <c r="K53" s="67"/>
      <c r="L53" s="67"/>
      <c r="M53" s="67"/>
      <c r="N53" s="67"/>
    </row>
    <row r="54" spans="1:14" s="37" customFormat="1" ht="22.5" customHeight="1">
      <c r="A54" s="11">
        <v>6253</v>
      </c>
      <c r="B54" s="11" t="s">
        <v>38</v>
      </c>
      <c r="C54" s="20">
        <v>3318000</v>
      </c>
      <c r="D54" s="72">
        <v>1196000</v>
      </c>
      <c r="E54" s="60">
        <f>(D54/C54)</f>
        <v>0.3604581072935503</v>
      </c>
      <c r="F54" s="90"/>
      <c r="G54" s="85"/>
      <c r="H54" s="67"/>
      <c r="I54" s="67"/>
      <c r="J54" s="67"/>
      <c r="K54" s="67"/>
      <c r="L54" s="67"/>
      <c r="M54" s="67"/>
      <c r="N54" s="67"/>
    </row>
    <row r="55" spans="1:14" s="37" customFormat="1" ht="22.5" customHeight="1">
      <c r="A55" s="11">
        <v>6299</v>
      </c>
      <c r="B55" s="11" t="s">
        <v>39</v>
      </c>
      <c r="C55" s="20">
        <v>4032000</v>
      </c>
      <c r="D55" s="72">
        <v>750000</v>
      </c>
      <c r="E55" s="60">
        <f>(D55/C55)</f>
        <v>0.18601190476190477</v>
      </c>
      <c r="F55" s="90"/>
      <c r="G55" s="85"/>
      <c r="H55" s="67"/>
      <c r="I55" s="67"/>
      <c r="J55" s="67"/>
      <c r="K55" s="67"/>
      <c r="L55" s="67"/>
      <c r="M55" s="67"/>
      <c r="N55" s="67"/>
    </row>
    <row r="56" spans="1:14" s="37" customFormat="1" ht="22.5" customHeight="1">
      <c r="A56" s="18">
        <v>6300</v>
      </c>
      <c r="B56" s="18" t="s">
        <v>40</v>
      </c>
      <c r="C56" s="19">
        <f>SUM(C57:C60)</f>
        <v>762260767</v>
      </c>
      <c r="D56" s="38">
        <f>SUM(D57:D60)</f>
        <v>201799482</v>
      </c>
      <c r="E56" s="104">
        <f>SUM(E57:E60)</f>
        <v>1.0504991046937209</v>
      </c>
      <c r="F56" s="91">
        <f>G56/D56</f>
        <v>1.1642302580340618</v>
      </c>
      <c r="G56" s="85">
        <v>234941063</v>
      </c>
      <c r="H56" s="67"/>
      <c r="I56" s="67"/>
      <c r="J56" s="67"/>
      <c r="K56" s="67"/>
      <c r="L56" s="67"/>
      <c r="M56" s="67"/>
      <c r="N56" s="67"/>
    </row>
    <row r="57" spans="1:14" s="37" customFormat="1" ht="22.5" customHeight="1">
      <c r="A57" s="11">
        <v>6301</v>
      </c>
      <c r="B57" s="11" t="s">
        <v>41</v>
      </c>
      <c r="C57" s="20">
        <f>540272950+27394216</f>
        <v>567667166</v>
      </c>
      <c r="D57" s="72">
        <v>150806019</v>
      </c>
      <c r="E57" s="60">
        <f>(D57/C57)</f>
        <v>0.26565922433498645</v>
      </c>
      <c r="F57" s="92"/>
      <c r="G57" s="85"/>
      <c r="H57" s="67"/>
      <c r="I57" s="67"/>
      <c r="J57" s="67"/>
      <c r="K57" s="67"/>
      <c r="L57" s="67"/>
      <c r="M57" s="67"/>
      <c r="N57" s="67"/>
    </row>
    <row r="58" spans="1:14" s="37" customFormat="1" ht="22.5" customHeight="1">
      <c r="A58" s="11">
        <v>6302</v>
      </c>
      <c r="B58" s="11" t="s">
        <v>42</v>
      </c>
      <c r="C58" s="20">
        <f>92618272+4696204</f>
        <v>97314476</v>
      </c>
      <c r="D58" s="72">
        <v>25543889</v>
      </c>
      <c r="E58" s="60">
        <f>(D58/C58)</f>
        <v>0.2624880701202152</v>
      </c>
      <c r="F58" s="92"/>
      <c r="G58" s="85"/>
      <c r="H58" s="67"/>
      <c r="I58" s="67"/>
      <c r="J58" s="67"/>
      <c r="K58" s="67"/>
      <c r="L58" s="67"/>
      <c r="M58" s="67"/>
      <c r="N58" s="67"/>
    </row>
    <row r="59" spans="1:14" s="37" customFormat="1" ht="22.5" customHeight="1">
      <c r="A59" s="11">
        <v>6303</v>
      </c>
      <c r="B59" s="11" t="s">
        <v>43</v>
      </c>
      <c r="C59" s="20">
        <f>61745515+3130802</f>
        <v>64876317</v>
      </c>
      <c r="D59" s="72">
        <v>17029259</v>
      </c>
      <c r="E59" s="60">
        <f>(D59/C59)</f>
        <v>0.2624880663308924</v>
      </c>
      <c r="F59" s="92"/>
      <c r="G59" s="85"/>
      <c r="H59" s="67"/>
      <c r="I59" s="67"/>
      <c r="J59" s="67"/>
      <c r="K59" s="67"/>
      <c r="L59" s="67"/>
      <c r="M59" s="67"/>
      <c r="N59" s="67"/>
    </row>
    <row r="60" spans="1:14" s="37" customFormat="1" ht="22.5" customHeight="1">
      <c r="A60" s="11">
        <v>6304</v>
      </c>
      <c r="B60" s="11" t="s">
        <v>44</v>
      </c>
      <c r="C60" s="20">
        <f>30872757+1530051</f>
        <v>32402808</v>
      </c>
      <c r="D60" s="72">
        <v>8420315</v>
      </c>
      <c r="E60" s="60">
        <f>(D60/C60)</f>
        <v>0.2598637439076268</v>
      </c>
      <c r="F60" s="92"/>
      <c r="G60" s="85"/>
      <c r="H60" s="67"/>
      <c r="I60" s="67"/>
      <c r="J60" s="67"/>
      <c r="K60" s="67"/>
      <c r="L60" s="67"/>
      <c r="M60" s="67"/>
      <c r="N60" s="67"/>
    </row>
    <row r="61" spans="1:14" s="37" customFormat="1" ht="22.5" customHeight="1">
      <c r="A61" s="77">
        <v>6400</v>
      </c>
      <c r="B61" s="78" t="s">
        <v>79</v>
      </c>
      <c r="C61" s="22">
        <f>C62</f>
        <v>107262520</v>
      </c>
      <c r="D61" s="73">
        <f>D62</f>
        <v>299359973</v>
      </c>
      <c r="E61" s="106">
        <f>E62</f>
        <v>0</v>
      </c>
      <c r="F61" s="91">
        <f>G61/D61</f>
        <v>0.015032069768392182</v>
      </c>
      <c r="G61" s="85">
        <v>4500000</v>
      </c>
      <c r="H61" s="67"/>
      <c r="I61" s="67"/>
      <c r="J61" s="67"/>
      <c r="K61" s="67"/>
      <c r="L61" s="67"/>
      <c r="M61" s="67"/>
      <c r="N61" s="67"/>
    </row>
    <row r="62" spans="1:14" s="37" customFormat="1" ht="22.5" customHeight="1">
      <c r="A62" s="79">
        <v>6404</v>
      </c>
      <c r="B62" s="70" t="s">
        <v>134</v>
      </c>
      <c r="C62" s="20">
        <v>107262520</v>
      </c>
      <c r="D62" s="72">
        <v>299359973</v>
      </c>
      <c r="E62" s="20"/>
      <c r="F62" s="92"/>
      <c r="G62" s="85"/>
      <c r="H62" s="67"/>
      <c r="I62" s="67"/>
      <c r="J62" s="67"/>
      <c r="K62" s="67"/>
      <c r="L62" s="67"/>
      <c r="M62" s="67"/>
      <c r="N62" s="67"/>
    </row>
    <row r="63" spans="1:14" s="37" customFormat="1" ht="22.5" customHeight="1">
      <c r="A63" s="133">
        <v>1.2</v>
      </c>
      <c r="B63" s="134" t="s">
        <v>115</v>
      </c>
      <c r="C63" s="135">
        <f>C64+C67+C72+C77</f>
        <v>1010583248</v>
      </c>
      <c r="D63" s="136">
        <f>D64+D67+D72+D77</f>
        <v>290092302</v>
      </c>
      <c r="E63" s="137">
        <f>E64+E67+E72+E77</f>
        <v>2.5946444652025455</v>
      </c>
      <c r="F63" s="132">
        <v>0</v>
      </c>
      <c r="G63" s="85"/>
      <c r="H63" s="67"/>
      <c r="I63" s="67"/>
      <c r="J63" s="67"/>
      <c r="K63" s="67"/>
      <c r="L63" s="67"/>
      <c r="M63" s="67"/>
      <c r="N63" s="67"/>
    </row>
    <row r="64" spans="1:14" s="37" customFormat="1" ht="22.5" customHeight="1">
      <c r="A64" s="18">
        <v>6000</v>
      </c>
      <c r="B64" s="18" t="s">
        <v>35</v>
      </c>
      <c r="C64" s="19">
        <f>SUM(C65:C66)</f>
        <v>597441600</v>
      </c>
      <c r="D64" s="38">
        <f>SUM(D65:D66)</f>
        <v>141150800</v>
      </c>
      <c r="E64" s="59"/>
      <c r="F64" s="91">
        <v>1.45</v>
      </c>
      <c r="G64" s="85"/>
      <c r="H64" s="67"/>
      <c r="I64" s="67"/>
      <c r="J64" s="67"/>
      <c r="K64" s="67"/>
      <c r="L64" s="67"/>
      <c r="M64" s="67"/>
      <c r="N64" s="67"/>
    </row>
    <row r="65" spans="1:14" s="37" customFormat="1" ht="22.5" customHeight="1">
      <c r="A65" s="11">
        <v>6001</v>
      </c>
      <c r="B65" s="11" t="s">
        <v>30</v>
      </c>
      <c r="C65" s="20">
        <f>435489600+166320000-4368000</f>
        <v>597441600</v>
      </c>
      <c r="D65" s="71">
        <v>141150800</v>
      </c>
      <c r="E65" s="60">
        <f>(D65/C65)</f>
        <v>0.23625874060326565</v>
      </c>
      <c r="F65" s="92"/>
      <c r="G65" s="85"/>
      <c r="H65" s="67"/>
      <c r="I65" s="67"/>
      <c r="J65" s="67"/>
      <c r="K65" s="67"/>
      <c r="L65" s="67"/>
      <c r="M65" s="67"/>
      <c r="N65" s="67"/>
    </row>
    <row r="66" spans="1:14" s="37" customFormat="1" ht="22.5" customHeight="1" hidden="1">
      <c r="A66" s="11">
        <v>6003</v>
      </c>
      <c r="B66" s="11" t="s">
        <v>31</v>
      </c>
      <c r="C66" s="20"/>
      <c r="D66" s="71"/>
      <c r="E66" s="60"/>
      <c r="F66" s="92"/>
      <c r="G66" s="85"/>
      <c r="H66" s="67"/>
      <c r="I66" s="67"/>
      <c r="J66" s="67"/>
      <c r="K66" s="67"/>
      <c r="L66" s="67"/>
      <c r="M66" s="67"/>
      <c r="N66" s="67"/>
    </row>
    <row r="67" spans="1:14" s="37" customFormat="1" ht="22.5" customHeight="1">
      <c r="A67" s="18">
        <v>6100</v>
      </c>
      <c r="B67" s="18" t="s">
        <v>36</v>
      </c>
      <c r="C67" s="19">
        <f>SUM(C68:C71)</f>
        <v>231692077</v>
      </c>
      <c r="D67" s="38">
        <f>SUM(D68:D71)</f>
        <v>102283772</v>
      </c>
      <c r="E67" s="104">
        <f>SUM(E68:E71)</f>
        <v>1.4775343563084795</v>
      </c>
      <c r="F67" s="91">
        <v>1.3</v>
      </c>
      <c r="G67" s="85"/>
      <c r="H67" s="67"/>
      <c r="I67" s="67"/>
      <c r="J67" s="67"/>
      <c r="K67" s="67"/>
      <c r="L67" s="67"/>
      <c r="M67" s="67"/>
      <c r="N67" s="67"/>
    </row>
    <row r="68" spans="1:14" s="37" customFormat="1" ht="22.5" customHeight="1">
      <c r="A68" s="11">
        <v>6101</v>
      </c>
      <c r="B68" s="11" t="s">
        <v>32</v>
      </c>
      <c r="C68" s="20">
        <v>10920000</v>
      </c>
      <c r="D68" s="71">
        <v>1974000</v>
      </c>
      <c r="E68" s="60">
        <f>(D68/C68)</f>
        <v>0.18076923076923077</v>
      </c>
      <c r="F68" s="92"/>
      <c r="G68" s="85"/>
      <c r="H68" s="67"/>
      <c r="I68" s="67"/>
      <c r="J68" s="67"/>
      <c r="K68" s="67"/>
      <c r="L68" s="67"/>
      <c r="M68" s="67"/>
      <c r="N68" s="67"/>
    </row>
    <row r="69" spans="1:14" s="37" customFormat="1" ht="22.5" customHeight="1">
      <c r="A69" s="11">
        <v>6112</v>
      </c>
      <c r="B69" s="11" t="s">
        <v>33</v>
      </c>
      <c r="C69" s="20">
        <f>196109760-50840160</f>
        <v>145269600</v>
      </c>
      <c r="D69" s="71">
        <v>45981820</v>
      </c>
      <c r="E69" s="60">
        <f>(D69/C69)</f>
        <v>0.31652747718724356</v>
      </c>
      <c r="F69" s="92"/>
      <c r="G69" s="85"/>
      <c r="H69" s="67"/>
      <c r="I69" s="67"/>
      <c r="J69" s="67"/>
      <c r="K69" s="67"/>
      <c r="L69" s="67"/>
      <c r="M69" s="67"/>
      <c r="N69" s="67"/>
    </row>
    <row r="70" spans="1:14" s="37" customFormat="1" ht="22.5" customHeight="1">
      <c r="A70" s="11">
        <v>6113</v>
      </c>
      <c r="B70" s="11" t="s">
        <v>34</v>
      </c>
      <c r="C70" s="20">
        <f>1680000</f>
        <v>1680000</v>
      </c>
      <c r="D70" s="71">
        <v>420000</v>
      </c>
      <c r="E70" s="60">
        <f>(D70/C70)</f>
        <v>0.25</v>
      </c>
      <c r="F70" s="92"/>
      <c r="G70" s="85"/>
      <c r="H70" s="67"/>
      <c r="I70" s="67"/>
      <c r="J70" s="67"/>
      <c r="K70" s="67"/>
      <c r="L70" s="67"/>
      <c r="M70" s="67"/>
      <c r="N70" s="67"/>
    </row>
    <row r="71" spans="1:14" s="37" customFormat="1" ht="22.5" customHeight="1">
      <c r="A71" s="11">
        <v>6115</v>
      </c>
      <c r="B71" s="11" t="s">
        <v>95</v>
      </c>
      <c r="C71" s="20">
        <f>101710475-27887998</f>
        <v>73822477</v>
      </c>
      <c r="D71" s="71">
        <v>53907952</v>
      </c>
      <c r="E71" s="60">
        <f>(D71/C71)</f>
        <v>0.7302376483520053</v>
      </c>
      <c r="F71" s="92"/>
      <c r="G71" s="85"/>
      <c r="H71" s="67"/>
      <c r="I71" s="67"/>
      <c r="J71" s="67"/>
      <c r="K71" s="67"/>
      <c r="L71" s="67"/>
      <c r="M71" s="67"/>
      <c r="N71" s="67"/>
    </row>
    <row r="72" spans="1:14" s="37" customFormat="1" ht="22.5" customHeight="1">
      <c r="A72" s="18">
        <v>6300</v>
      </c>
      <c r="B72" s="18" t="s">
        <v>40</v>
      </c>
      <c r="C72" s="19">
        <f>SUM(C73:C76)</f>
        <v>164353518</v>
      </c>
      <c r="D72" s="38">
        <f>SUM(D73:D76)</f>
        <v>46657730</v>
      </c>
      <c r="E72" s="104">
        <f>SUM(E73:E76)</f>
        <v>1.117110108894066</v>
      </c>
      <c r="F72" s="91">
        <v>1.65</v>
      </c>
      <c r="G72" s="85"/>
      <c r="H72" s="67"/>
      <c r="I72" s="67"/>
      <c r="J72" s="67"/>
      <c r="K72" s="67"/>
      <c r="L72" s="67"/>
      <c r="M72" s="67"/>
      <c r="N72" s="67"/>
    </row>
    <row r="73" spans="1:14" s="37" customFormat="1" ht="22.5" customHeight="1">
      <c r="A73" s="11">
        <v>6301</v>
      </c>
      <c r="B73" s="11" t="s">
        <v>41</v>
      </c>
      <c r="C73" s="20">
        <f>125026708-1486329-1529105</f>
        <v>122011274</v>
      </c>
      <c r="D73" s="72">
        <v>34880731</v>
      </c>
      <c r="E73" s="60">
        <f>(D73/C73)</f>
        <v>0.2858812129115216</v>
      </c>
      <c r="F73" s="92"/>
      <c r="G73" s="85"/>
      <c r="H73" s="67"/>
      <c r="I73" s="67"/>
      <c r="J73" s="67"/>
      <c r="K73" s="67"/>
      <c r="L73" s="67"/>
      <c r="M73" s="67"/>
      <c r="N73" s="67"/>
    </row>
    <row r="74" spans="1:14" s="37" customFormat="1" ht="22.5" customHeight="1">
      <c r="A74" s="11">
        <v>6302</v>
      </c>
      <c r="B74" s="11" t="s">
        <v>42</v>
      </c>
      <c r="C74" s="20">
        <f>21433202-262080</f>
        <v>21171122</v>
      </c>
      <c r="D74" s="72">
        <v>5910983</v>
      </c>
      <c r="E74" s="60">
        <f>(D74/C74)</f>
        <v>0.27920027101067196</v>
      </c>
      <c r="F74" s="92"/>
      <c r="G74" s="85"/>
      <c r="H74" s="67"/>
      <c r="I74" s="67"/>
      <c r="J74" s="67"/>
      <c r="K74" s="67"/>
      <c r="L74" s="67"/>
      <c r="M74" s="67"/>
      <c r="N74" s="67"/>
    </row>
    <row r="75" spans="1:14" s="37" customFormat="1" ht="22.5" customHeight="1">
      <c r="A75" s="11">
        <v>6303</v>
      </c>
      <c r="B75" s="11" t="s">
        <v>43</v>
      </c>
      <c r="C75" s="20">
        <f>14288801-174720</f>
        <v>14114081</v>
      </c>
      <c r="D75" s="72">
        <v>3940655</v>
      </c>
      <c r="E75" s="60">
        <f>(D75/C75)</f>
        <v>0.2792002539874895</v>
      </c>
      <c r="F75" s="92"/>
      <c r="G75" s="85"/>
      <c r="H75" s="67"/>
      <c r="I75" s="67"/>
      <c r="J75" s="67"/>
      <c r="K75" s="67"/>
      <c r="L75" s="67"/>
      <c r="M75" s="67"/>
      <c r="N75" s="67"/>
    </row>
    <row r="76" spans="1:14" s="37" customFormat="1" ht="22.5" customHeight="1">
      <c r="A76" s="11">
        <v>6304</v>
      </c>
      <c r="B76" s="11" t="s">
        <v>44</v>
      </c>
      <c r="C76" s="20">
        <f>7144401-87360</f>
        <v>7057041</v>
      </c>
      <c r="D76" s="72">
        <v>1925361</v>
      </c>
      <c r="E76" s="60">
        <f>(D76/C76)</f>
        <v>0.27282837098438284</v>
      </c>
      <c r="F76" s="92"/>
      <c r="G76" s="85"/>
      <c r="H76" s="67"/>
      <c r="I76" s="67"/>
      <c r="J76" s="67"/>
      <c r="K76" s="67"/>
      <c r="L76" s="67"/>
      <c r="M76" s="67"/>
      <c r="N76" s="67"/>
    </row>
    <row r="77" spans="1:14" s="52" customFormat="1" ht="22.5" customHeight="1">
      <c r="A77" s="18">
        <v>7750</v>
      </c>
      <c r="B77" s="18" t="s">
        <v>129</v>
      </c>
      <c r="C77" s="19">
        <f>C78</f>
        <v>17096053</v>
      </c>
      <c r="D77" s="19">
        <f>D78</f>
        <v>0</v>
      </c>
      <c r="E77" s="59"/>
      <c r="F77" s="91"/>
      <c r="G77" s="88"/>
      <c r="H77" s="69"/>
      <c r="I77" s="69"/>
      <c r="J77" s="69"/>
      <c r="K77" s="69"/>
      <c r="L77" s="69"/>
      <c r="M77" s="69"/>
      <c r="N77" s="69"/>
    </row>
    <row r="78" spans="1:14" s="37" customFormat="1" ht="22.5" customHeight="1">
      <c r="A78" s="11">
        <v>7799</v>
      </c>
      <c r="B78" s="11" t="s">
        <v>130</v>
      </c>
      <c r="C78" s="20">
        <v>17096053</v>
      </c>
      <c r="D78" s="72"/>
      <c r="E78" s="60"/>
      <c r="F78" s="92"/>
      <c r="G78" s="85"/>
      <c r="H78" s="67"/>
      <c r="I78" s="67"/>
      <c r="J78" s="67"/>
      <c r="K78" s="67"/>
      <c r="L78" s="67"/>
      <c r="M78" s="67"/>
      <c r="N78" s="67"/>
    </row>
    <row r="79" spans="1:14" s="37" customFormat="1" ht="22.5" customHeight="1">
      <c r="A79" s="18">
        <v>6500</v>
      </c>
      <c r="B79" s="18" t="s">
        <v>45</v>
      </c>
      <c r="C79" s="26">
        <f>SUM(C80:C82)</f>
        <v>66800000</v>
      </c>
      <c r="D79" s="13">
        <f>SUM(D80:D82)</f>
        <v>19008507</v>
      </c>
      <c r="E79" s="102">
        <f>SUM(E80:E82)</f>
        <v>0.4078590288888889</v>
      </c>
      <c r="F79" s="91">
        <f>G79/D79</f>
        <v>0.8686632779733832</v>
      </c>
      <c r="G79" s="85">
        <v>16511992</v>
      </c>
      <c r="H79" s="67"/>
      <c r="I79" s="67"/>
      <c r="J79" s="67"/>
      <c r="K79" s="67"/>
      <c r="L79" s="67"/>
      <c r="M79" s="67"/>
      <c r="N79" s="67"/>
    </row>
    <row r="80" spans="1:14" s="37" customFormat="1" ht="22.5" customHeight="1">
      <c r="A80" s="11">
        <v>6501</v>
      </c>
      <c r="B80" s="11" t="s">
        <v>46</v>
      </c>
      <c r="C80" s="27">
        <v>50000000</v>
      </c>
      <c r="D80" s="72">
        <v>18448507</v>
      </c>
      <c r="E80" s="60">
        <f>(D80/C80)</f>
        <v>0.36897014</v>
      </c>
      <c r="F80" s="92"/>
      <c r="G80" s="85"/>
      <c r="H80" s="67"/>
      <c r="I80" s="67"/>
      <c r="J80" s="67"/>
      <c r="K80" s="67"/>
      <c r="L80" s="67"/>
      <c r="M80" s="67"/>
      <c r="N80" s="67"/>
    </row>
    <row r="81" spans="1:14" s="37" customFormat="1" ht="22.5" customHeight="1">
      <c r="A81" s="11">
        <v>6502</v>
      </c>
      <c r="B81" s="11" t="s">
        <v>47</v>
      </c>
      <c r="C81" s="27">
        <v>2400000</v>
      </c>
      <c r="D81" s="72"/>
      <c r="E81" s="60">
        <f>(D81/C81)</f>
        <v>0</v>
      </c>
      <c r="F81" s="92"/>
      <c r="G81" s="85"/>
      <c r="H81" s="67"/>
      <c r="I81" s="67"/>
      <c r="J81" s="67"/>
      <c r="K81" s="67"/>
      <c r="L81" s="67"/>
      <c r="M81" s="67"/>
      <c r="N81" s="67"/>
    </row>
    <row r="82" spans="1:14" s="37" customFormat="1" ht="22.5" customHeight="1">
      <c r="A82" s="11">
        <v>6504</v>
      </c>
      <c r="B82" s="11" t="s">
        <v>48</v>
      </c>
      <c r="C82" s="27">
        <v>14400000</v>
      </c>
      <c r="D82" s="72">
        <v>560000</v>
      </c>
      <c r="E82" s="60">
        <f>(D82/C82)</f>
        <v>0.03888888888888889</v>
      </c>
      <c r="F82" s="92"/>
      <c r="G82" s="85"/>
      <c r="H82" s="67"/>
      <c r="I82" s="67"/>
      <c r="J82" s="67"/>
      <c r="K82" s="67"/>
      <c r="L82" s="67"/>
      <c r="M82" s="67"/>
      <c r="N82" s="67"/>
    </row>
    <row r="83" spans="1:14" s="37" customFormat="1" ht="22.5" customHeight="1">
      <c r="A83" s="18">
        <v>6550</v>
      </c>
      <c r="B83" s="18" t="s">
        <v>49</v>
      </c>
      <c r="C83" s="13">
        <f>SUM(C84:C86)</f>
        <v>104114000</v>
      </c>
      <c r="D83" s="13">
        <f>SUM(D84:D86)</f>
        <v>70807000</v>
      </c>
      <c r="E83" s="102">
        <f>SUM(E84:E86)</f>
        <v>1.2496698391046905</v>
      </c>
      <c r="F83" s="91">
        <f>G83/D83</f>
        <v>0.5761436016213086</v>
      </c>
      <c r="G83" s="85">
        <v>40795000</v>
      </c>
      <c r="H83" s="67"/>
      <c r="I83" s="67"/>
      <c r="J83" s="67"/>
      <c r="K83" s="67"/>
      <c r="L83" s="67"/>
      <c r="M83" s="67"/>
      <c r="N83" s="67"/>
    </row>
    <row r="84" spans="1:14" s="37" customFormat="1" ht="22.5" customHeight="1">
      <c r="A84" s="11">
        <v>6551</v>
      </c>
      <c r="B84" s="11" t="s">
        <v>157</v>
      </c>
      <c r="C84" s="27">
        <f>34800000-3000000</f>
        <v>31800000</v>
      </c>
      <c r="D84" s="72">
        <v>9540000</v>
      </c>
      <c r="E84" s="60">
        <f>(D84/C84)</f>
        <v>0.3</v>
      </c>
      <c r="F84" s="92"/>
      <c r="G84" s="85"/>
      <c r="H84" s="67"/>
      <c r="I84" s="67"/>
      <c r="J84" s="67"/>
      <c r="K84" s="67"/>
      <c r="L84" s="67"/>
      <c r="M84" s="67"/>
      <c r="N84" s="67"/>
    </row>
    <row r="85" spans="1:14" s="37" customFormat="1" ht="22.5" customHeight="1">
      <c r="A85" s="11">
        <v>6552</v>
      </c>
      <c r="B85" s="11" t="s">
        <v>51</v>
      </c>
      <c r="C85" s="27">
        <v>7800000</v>
      </c>
      <c r="D85" s="72"/>
      <c r="E85" s="60">
        <f>(D85/C85)</f>
        <v>0</v>
      </c>
      <c r="F85" s="92"/>
      <c r="G85" s="85"/>
      <c r="H85" s="67"/>
      <c r="I85" s="67"/>
      <c r="J85" s="67"/>
      <c r="K85" s="67"/>
      <c r="L85" s="67"/>
      <c r="M85" s="67"/>
      <c r="N85" s="67"/>
    </row>
    <row r="86" spans="1:14" s="37" customFormat="1" ht="22.5" customHeight="1">
      <c r="A86" s="11">
        <v>6559</v>
      </c>
      <c r="B86" s="11" t="s">
        <v>52</v>
      </c>
      <c r="C86" s="27">
        <f>69050000-4536000</f>
        <v>64514000</v>
      </c>
      <c r="D86" s="72">
        <v>61267000</v>
      </c>
      <c r="E86" s="60">
        <f>(D86/C86)</f>
        <v>0.9496698391046905</v>
      </c>
      <c r="F86" s="94"/>
      <c r="G86" s="85"/>
      <c r="H86" s="67"/>
      <c r="I86" s="67"/>
      <c r="J86" s="67"/>
      <c r="K86" s="67"/>
      <c r="L86" s="67"/>
      <c r="M86" s="67"/>
      <c r="N86" s="67"/>
    </row>
    <row r="87" spans="1:14" s="37" customFormat="1" ht="22.5" customHeight="1">
      <c r="A87" s="18">
        <v>6600</v>
      </c>
      <c r="B87" s="18" t="s">
        <v>53</v>
      </c>
      <c r="C87" s="13">
        <f>SUM(C88:C92)</f>
        <v>42090000</v>
      </c>
      <c r="D87" s="13">
        <f>SUM(D88:D92)</f>
        <v>28025600</v>
      </c>
      <c r="E87" s="102">
        <f>SUM(E88:E91)</f>
        <v>0.8071111111111112</v>
      </c>
      <c r="F87" s="91">
        <f>G87/D87</f>
        <v>0.08266591973053208</v>
      </c>
      <c r="G87" s="85">
        <v>2316762</v>
      </c>
      <c r="H87" s="67"/>
      <c r="I87" s="67"/>
      <c r="J87" s="67"/>
      <c r="K87" s="67"/>
      <c r="L87" s="67"/>
      <c r="M87" s="67"/>
      <c r="N87" s="67"/>
    </row>
    <row r="88" spans="1:14" s="37" customFormat="1" ht="22.5" customHeight="1">
      <c r="A88" s="11">
        <v>6601</v>
      </c>
      <c r="B88" s="11" t="s">
        <v>54</v>
      </c>
      <c r="C88" s="27">
        <v>3600000</v>
      </c>
      <c r="D88" s="72">
        <v>109600</v>
      </c>
      <c r="E88" s="60">
        <f>(D88/C88)</f>
        <v>0.030444444444444444</v>
      </c>
      <c r="F88" s="92"/>
      <c r="G88" s="85"/>
      <c r="H88" s="67"/>
      <c r="I88" s="67"/>
      <c r="J88" s="67"/>
      <c r="K88" s="67"/>
      <c r="L88" s="67"/>
      <c r="M88" s="67"/>
      <c r="N88" s="67"/>
    </row>
    <row r="89" spans="1:14" s="37" customFormat="1" ht="22.5" customHeight="1">
      <c r="A89" s="11">
        <v>6605</v>
      </c>
      <c r="B89" s="11" t="s">
        <v>56</v>
      </c>
      <c r="C89" s="27">
        <v>3600000</v>
      </c>
      <c r="D89" s="72">
        <v>2376000</v>
      </c>
      <c r="E89" s="60">
        <f>(D89/C89)</f>
        <v>0.66</v>
      </c>
      <c r="F89" s="92"/>
      <c r="G89" s="85"/>
      <c r="H89" s="67"/>
      <c r="I89" s="67"/>
      <c r="J89" s="67"/>
      <c r="K89" s="67"/>
      <c r="L89" s="67"/>
      <c r="M89" s="67"/>
      <c r="N89" s="67"/>
    </row>
    <row r="90" spans="1:14" s="37" customFormat="1" ht="22.5" customHeight="1">
      <c r="A90" s="11">
        <v>6608</v>
      </c>
      <c r="B90" s="11" t="s">
        <v>55</v>
      </c>
      <c r="C90" s="27">
        <v>1400000</v>
      </c>
      <c r="D90" s="72"/>
      <c r="E90" s="60">
        <f>(D90/C90)</f>
        <v>0</v>
      </c>
      <c r="F90" s="92"/>
      <c r="G90" s="85"/>
      <c r="H90" s="67"/>
      <c r="I90" s="67"/>
      <c r="J90" s="67"/>
      <c r="K90" s="67"/>
      <c r="L90" s="67"/>
      <c r="M90" s="67"/>
      <c r="N90" s="67"/>
    </row>
    <row r="91" spans="1:14" s="37" customFormat="1" ht="22.5" customHeight="1">
      <c r="A91" s="11">
        <v>6618</v>
      </c>
      <c r="B91" s="11" t="s">
        <v>91</v>
      </c>
      <c r="C91" s="27">
        <v>9000000</v>
      </c>
      <c r="D91" s="72">
        <v>1050000</v>
      </c>
      <c r="E91" s="60">
        <f>(D91/C91)</f>
        <v>0.11666666666666667</v>
      </c>
      <c r="F91" s="92"/>
      <c r="G91" s="85"/>
      <c r="H91" s="67"/>
      <c r="I91" s="67"/>
      <c r="J91" s="67"/>
      <c r="K91" s="67"/>
      <c r="L91" s="67"/>
      <c r="M91" s="67"/>
      <c r="N91" s="67"/>
    </row>
    <row r="92" spans="1:14" s="37" customFormat="1" ht="22.5" customHeight="1">
      <c r="A92" s="11">
        <v>6649</v>
      </c>
      <c r="B92" s="11"/>
      <c r="C92" s="27">
        <v>24490000</v>
      </c>
      <c r="D92" s="72">
        <v>24490000</v>
      </c>
      <c r="E92" s="60">
        <f>(D92/C92)</f>
        <v>1</v>
      </c>
      <c r="F92" s="92"/>
      <c r="G92" s="85"/>
      <c r="H92" s="67"/>
      <c r="I92" s="67"/>
      <c r="J92" s="67"/>
      <c r="K92" s="67"/>
      <c r="L92" s="67"/>
      <c r="M92" s="67"/>
      <c r="N92" s="67"/>
    </row>
    <row r="93" spans="1:14" s="37" customFormat="1" ht="22.5" customHeight="1">
      <c r="A93" s="18">
        <v>6650</v>
      </c>
      <c r="B93" s="18" t="s">
        <v>57</v>
      </c>
      <c r="C93" s="13">
        <f>SUM(C94:C96)</f>
        <v>4440000</v>
      </c>
      <c r="D93" s="13">
        <f>SUM(D94:D96)</f>
        <v>1900000</v>
      </c>
      <c r="E93" s="59"/>
      <c r="F93" s="91"/>
      <c r="G93" s="85">
        <v>1962000</v>
      </c>
      <c r="H93" s="67"/>
      <c r="I93" s="67"/>
      <c r="J93" s="67"/>
      <c r="K93" s="67"/>
      <c r="L93" s="67"/>
      <c r="M93" s="67"/>
      <c r="N93" s="67"/>
    </row>
    <row r="94" spans="1:14" s="37" customFormat="1" ht="22.5" customHeight="1">
      <c r="A94" s="11">
        <v>6651</v>
      </c>
      <c r="B94" s="11" t="s">
        <v>116</v>
      </c>
      <c r="C94" s="27">
        <v>1200000</v>
      </c>
      <c r="D94" s="27">
        <v>350000</v>
      </c>
      <c r="E94" s="60">
        <f>(D94/C94)</f>
        <v>0.2916666666666667</v>
      </c>
      <c r="F94" s="90"/>
      <c r="G94" s="85"/>
      <c r="H94" s="67"/>
      <c r="I94" s="67"/>
      <c r="J94" s="67"/>
      <c r="K94" s="67"/>
      <c r="L94" s="67"/>
      <c r="M94" s="67"/>
      <c r="N94" s="67"/>
    </row>
    <row r="95" spans="1:14" s="37" customFormat="1" ht="22.5" customHeight="1">
      <c r="A95" s="11">
        <v>6657</v>
      </c>
      <c r="B95" s="11" t="s">
        <v>58</v>
      </c>
      <c r="C95" s="27">
        <v>1200000</v>
      </c>
      <c r="D95" s="27"/>
      <c r="E95" s="60">
        <f>(D95/C95)</f>
        <v>0</v>
      </c>
      <c r="F95" s="90"/>
      <c r="G95" s="85"/>
      <c r="H95" s="67"/>
      <c r="I95" s="67"/>
      <c r="J95" s="67"/>
      <c r="K95" s="67"/>
      <c r="L95" s="67"/>
      <c r="M95" s="67"/>
      <c r="N95" s="67"/>
    </row>
    <row r="96" spans="1:14" s="37" customFormat="1" ht="22.5" customHeight="1">
      <c r="A96" s="11">
        <v>6699</v>
      </c>
      <c r="B96" s="11" t="s">
        <v>59</v>
      </c>
      <c r="C96" s="27">
        <v>2040000</v>
      </c>
      <c r="D96" s="27">
        <v>1550000</v>
      </c>
      <c r="E96" s="60">
        <f>(D96/C96)</f>
        <v>0.7598039215686274</v>
      </c>
      <c r="F96" s="90"/>
      <c r="G96" s="85"/>
      <c r="H96" s="67"/>
      <c r="I96" s="67"/>
      <c r="J96" s="67"/>
      <c r="K96" s="67"/>
      <c r="L96" s="67"/>
      <c r="M96" s="67"/>
      <c r="N96" s="67"/>
    </row>
    <row r="97" spans="1:14" s="37" customFormat="1" ht="22.5" customHeight="1">
      <c r="A97" s="18">
        <v>6700</v>
      </c>
      <c r="B97" s="18" t="s">
        <v>60</v>
      </c>
      <c r="C97" s="13">
        <f>SUM(C98:C102)</f>
        <v>84000000</v>
      </c>
      <c r="D97" s="13">
        <f>SUM(D98:D102)</f>
        <v>31162000</v>
      </c>
      <c r="E97" s="102">
        <f>SUM(E98:E102)</f>
        <v>1.8119102997520848</v>
      </c>
      <c r="F97" s="91">
        <f>G97/D97</f>
        <v>1.2129516719080933</v>
      </c>
      <c r="G97" s="85">
        <v>37798000</v>
      </c>
      <c r="H97" s="67"/>
      <c r="I97" s="67"/>
      <c r="J97" s="67"/>
      <c r="K97" s="67"/>
      <c r="L97" s="67"/>
      <c r="M97" s="67"/>
      <c r="N97" s="67"/>
    </row>
    <row r="98" spans="1:14" s="37" customFormat="1" ht="27.75" customHeight="1">
      <c r="A98" s="11">
        <v>6701</v>
      </c>
      <c r="B98" s="11" t="s">
        <v>61</v>
      </c>
      <c r="C98" s="27">
        <f>28000000-2500000</f>
        <v>25500000</v>
      </c>
      <c r="D98" s="72">
        <v>8630000</v>
      </c>
      <c r="E98" s="60">
        <f>(D98/C98)</f>
        <v>0.3384313725490196</v>
      </c>
      <c r="F98" s="92"/>
      <c r="G98" s="85"/>
      <c r="H98" s="67"/>
      <c r="I98" s="67"/>
      <c r="J98" s="67"/>
      <c r="K98" s="67"/>
      <c r="L98" s="67"/>
      <c r="M98" s="67"/>
      <c r="N98" s="67"/>
    </row>
    <row r="99" spans="1:14" s="37" customFormat="1" ht="27.75" customHeight="1">
      <c r="A99" s="11">
        <v>6702</v>
      </c>
      <c r="B99" s="11" t="s">
        <v>62</v>
      </c>
      <c r="C99" s="27">
        <f>32000000-3000000</f>
        <v>29000000</v>
      </c>
      <c r="D99" s="72">
        <v>12732000</v>
      </c>
      <c r="E99" s="60">
        <f>(D99/C99)</f>
        <v>0.43903448275862067</v>
      </c>
      <c r="F99" s="92"/>
      <c r="G99" s="85"/>
      <c r="H99" s="67"/>
      <c r="I99" s="67"/>
      <c r="J99" s="67"/>
      <c r="K99" s="67"/>
      <c r="L99" s="67"/>
      <c r="M99" s="67"/>
      <c r="N99" s="67"/>
    </row>
    <row r="100" spans="1:14" s="37" customFormat="1" ht="27.75" customHeight="1">
      <c r="A100" s="11">
        <v>6703</v>
      </c>
      <c r="B100" s="11" t="s">
        <v>63</v>
      </c>
      <c r="C100" s="27">
        <f>9000000-1500000</f>
        <v>7500000</v>
      </c>
      <c r="D100" s="72">
        <v>6300000</v>
      </c>
      <c r="E100" s="60">
        <f>(D100/C100)</f>
        <v>0.84</v>
      </c>
      <c r="F100" s="92"/>
      <c r="G100" s="85"/>
      <c r="H100" s="67"/>
      <c r="I100" s="67"/>
      <c r="J100" s="67"/>
      <c r="K100" s="67"/>
      <c r="L100" s="67"/>
      <c r="M100" s="67"/>
      <c r="N100" s="67"/>
    </row>
    <row r="101" spans="1:14" s="37" customFormat="1" ht="27.75" customHeight="1">
      <c r="A101" s="11">
        <v>6704</v>
      </c>
      <c r="B101" s="11" t="s">
        <v>64</v>
      </c>
      <c r="C101" s="27">
        <v>18000000</v>
      </c>
      <c r="D101" s="72">
        <v>3500000</v>
      </c>
      <c r="E101" s="60">
        <f>(D101/C101)</f>
        <v>0.19444444444444445</v>
      </c>
      <c r="F101" s="92"/>
      <c r="G101" s="85"/>
      <c r="H101" s="67"/>
      <c r="I101" s="67"/>
      <c r="J101" s="67"/>
      <c r="K101" s="67"/>
      <c r="L101" s="67"/>
      <c r="M101" s="67"/>
      <c r="N101" s="67"/>
    </row>
    <row r="102" spans="1:14" s="37" customFormat="1" ht="27.75" customHeight="1">
      <c r="A102" s="11">
        <v>6749</v>
      </c>
      <c r="B102" s="11" t="s">
        <v>65</v>
      </c>
      <c r="C102" s="27">
        <v>4000000</v>
      </c>
      <c r="D102" s="72"/>
      <c r="E102" s="60">
        <f>(D102/C102)</f>
        <v>0</v>
      </c>
      <c r="F102" s="92"/>
      <c r="G102" s="85"/>
      <c r="H102" s="67"/>
      <c r="I102" s="67"/>
      <c r="J102" s="67"/>
      <c r="K102" s="67"/>
      <c r="L102" s="67"/>
      <c r="M102" s="67"/>
      <c r="N102" s="67"/>
    </row>
    <row r="103" spans="1:14" s="39" customFormat="1" ht="22.5" customHeight="1">
      <c r="A103" s="21">
        <v>6750</v>
      </c>
      <c r="B103" s="21" t="s">
        <v>86</v>
      </c>
      <c r="C103" s="13">
        <f>SUM(C104:C106)</f>
        <v>108076600</v>
      </c>
      <c r="D103" s="13">
        <f>SUM(D104:D106)</f>
        <v>19000900</v>
      </c>
      <c r="E103" s="102">
        <f>SUM(E104:E106)</f>
        <v>0.32606851548986315</v>
      </c>
      <c r="F103" s="91">
        <f>G103/D103</f>
        <v>2.32745291012531</v>
      </c>
      <c r="G103" s="87">
        <v>44223700</v>
      </c>
      <c r="H103" s="68"/>
      <c r="I103" s="68"/>
      <c r="J103" s="68"/>
      <c r="K103" s="68"/>
      <c r="L103" s="68"/>
      <c r="M103" s="68"/>
      <c r="N103" s="68"/>
    </row>
    <row r="104" spans="1:14" s="39" customFormat="1" ht="27.75" customHeight="1">
      <c r="A104" s="11">
        <v>6751</v>
      </c>
      <c r="B104" s="11" t="s">
        <v>117</v>
      </c>
      <c r="C104" s="27">
        <v>6500000</v>
      </c>
      <c r="D104" s="27"/>
      <c r="E104" s="60">
        <f>(D104/C104)</f>
        <v>0</v>
      </c>
      <c r="F104" s="92"/>
      <c r="G104" s="87"/>
      <c r="H104" s="68"/>
      <c r="I104" s="68"/>
      <c r="J104" s="68"/>
      <c r="K104" s="68"/>
      <c r="L104" s="68"/>
      <c r="M104" s="68"/>
      <c r="N104" s="68"/>
    </row>
    <row r="105" spans="1:14" s="37" customFormat="1" ht="27.75" customHeight="1">
      <c r="A105" s="11">
        <v>6757</v>
      </c>
      <c r="B105" s="11" t="s">
        <v>97</v>
      </c>
      <c r="C105" s="27">
        <v>65504400</v>
      </c>
      <c r="D105" s="72">
        <v>16110900</v>
      </c>
      <c r="E105" s="60">
        <f>(D105/C105)</f>
        <v>0.24595141700404857</v>
      </c>
      <c r="F105" s="92"/>
      <c r="G105" s="85"/>
      <c r="H105" s="67"/>
      <c r="I105" s="67"/>
      <c r="J105" s="67"/>
      <c r="K105" s="67"/>
      <c r="L105" s="67"/>
      <c r="M105" s="67"/>
      <c r="N105" s="67"/>
    </row>
    <row r="106" spans="1:14" s="37" customFormat="1" ht="27.75" customHeight="1">
      <c r="A106" s="11">
        <v>6799</v>
      </c>
      <c r="B106" s="11" t="s">
        <v>98</v>
      </c>
      <c r="C106" s="27">
        <v>36072200</v>
      </c>
      <c r="D106" s="72">
        <v>2890000</v>
      </c>
      <c r="E106" s="60">
        <f>(D106/C106)</f>
        <v>0.08011709848581457</v>
      </c>
      <c r="F106" s="92"/>
      <c r="G106" s="85"/>
      <c r="H106" s="67"/>
      <c r="I106" s="67"/>
      <c r="J106" s="67"/>
      <c r="K106" s="67"/>
      <c r="L106" s="67"/>
      <c r="M106" s="67"/>
      <c r="N106" s="67"/>
    </row>
    <row r="107" spans="1:14" s="37" customFormat="1" ht="22.5" customHeight="1">
      <c r="A107" s="28">
        <v>6900</v>
      </c>
      <c r="B107" s="18" t="s">
        <v>66</v>
      </c>
      <c r="C107" s="13">
        <f>SUM(C108:C113)</f>
        <v>98200000</v>
      </c>
      <c r="D107" s="13">
        <f>SUM(D108:D113)</f>
        <v>32292500</v>
      </c>
      <c r="E107" s="102">
        <f>SUM(E108:E113)</f>
        <v>2.449912569958909</v>
      </c>
      <c r="F107" s="91">
        <f>G107/D107</f>
        <v>0.9169776263838353</v>
      </c>
      <c r="G107" s="85">
        <v>29611500</v>
      </c>
      <c r="H107" s="67"/>
      <c r="I107" s="67"/>
      <c r="J107" s="67"/>
      <c r="K107" s="67"/>
      <c r="L107" s="67"/>
      <c r="M107" s="67"/>
      <c r="N107" s="67"/>
    </row>
    <row r="108" spans="1:14" s="37" customFormat="1" ht="22.5" customHeight="1">
      <c r="A108" s="43">
        <v>6905</v>
      </c>
      <c r="B108" s="11" t="s">
        <v>100</v>
      </c>
      <c r="C108" s="27">
        <v>12200000</v>
      </c>
      <c r="D108" s="27">
        <v>9295000</v>
      </c>
      <c r="E108" s="60">
        <f aca="true" t="shared" si="0" ref="E108:E113">(D108/C108)</f>
        <v>0.7618852459016393</v>
      </c>
      <c r="F108" s="92"/>
      <c r="G108" s="85"/>
      <c r="H108" s="67"/>
      <c r="I108" s="67"/>
      <c r="J108" s="67"/>
      <c r="K108" s="67"/>
      <c r="L108" s="67"/>
      <c r="M108" s="67"/>
      <c r="N108" s="67"/>
    </row>
    <row r="109" spans="1:14" s="37" customFormat="1" ht="24.75" customHeight="1">
      <c r="A109" s="43">
        <v>6907</v>
      </c>
      <c r="B109" s="11" t="s">
        <v>101</v>
      </c>
      <c r="C109" s="27">
        <v>9000000</v>
      </c>
      <c r="D109" s="27">
        <v>5582500</v>
      </c>
      <c r="E109" s="60">
        <f t="shared" si="0"/>
        <v>0.6202777777777778</v>
      </c>
      <c r="F109" s="92"/>
      <c r="G109" s="85"/>
      <c r="H109" s="67"/>
      <c r="I109" s="67"/>
      <c r="J109" s="67"/>
      <c r="K109" s="67"/>
      <c r="L109" s="67"/>
      <c r="M109" s="67"/>
      <c r="N109" s="67"/>
    </row>
    <row r="110" spans="1:14" s="37" customFormat="1" ht="24.75" customHeight="1">
      <c r="A110" s="11">
        <v>6912</v>
      </c>
      <c r="B110" s="11" t="s">
        <v>67</v>
      </c>
      <c r="C110" s="27">
        <v>19000000</v>
      </c>
      <c r="D110" s="72">
        <v>8220000</v>
      </c>
      <c r="E110" s="60">
        <f t="shared" si="0"/>
        <v>0.4326315789473684</v>
      </c>
      <c r="F110" s="92"/>
      <c r="G110" s="85"/>
      <c r="H110" s="67"/>
      <c r="I110" s="67"/>
      <c r="J110" s="67"/>
      <c r="K110" s="67"/>
      <c r="L110" s="67"/>
      <c r="M110" s="67"/>
      <c r="N110" s="67"/>
    </row>
    <row r="111" spans="1:14" s="37" customFormat="1" ht="24.75" customHeight="1">
      <c r="A111" s="11">
        <v>6913</v>
      </c>
      <c r="B111" s="11" t="s">
        <v>68</v>
      </c>
      <c r="C111" s="27">
        <v>10000000</v>
      </c>
      <c r="D111" s="72">
        <v>3950000</v>
      </c>
      <c r="E111" s="60">
        <f t="shared" si="0"/>
        <v>0.395</v>
      </c>
      <c r="F111" s="92"/>
      <c r="G111" s="85"/>
      <c r="H111" s="67"/>
      <c r="I111" s="67"/>
      <c r="J111" s="67"/>
      <c r="K111" s="67"/>
      <c r="L111" s="67"/>
      <c r="M111" s="67"/>
      <c r="N111" s="67"/>
    </row>
    <row r="112" spans="1:14" s="37" customFormat="1" ht="24.75" customHeight="1">
      <c r="A112" s="11">
        <v>6921</v>
      </c>
      <c r="B112" s="11" t="s">
        <v>168</v>
      </c>
      <c r="C112" s="27">
        <v>19000000</v>
      </c>
      <c r="D112" s="72">
        <v>3265000</v>
      </c>
      <c r="E112" s="60">
        <f t="shared" si="0"/>
        <v>0.1718421052631579</v>
      </c>
      <c r="F112" s="90"/>
      <c r="G112" s="85"/>
      <c r="H112" s="67"/>
      <c r="I112" s="67"/>
      <c r="J112" s="67"/>
      <c r="K112" s="67"/>
      <c r="L112" s="67"/>
      <c r="M112" s="67"/>
      <c r="N112" s="67"/>
    </row>
    <row r="113" spans="1:14" s="37" customFormat="1" ht="35.25" customHeight="1">
      <c r="A113" s="11">
        <v>6949</v>
      </c>
      <c r="B113" s="29" t="s">
        <v>167</v>
      </c>
      <c r="C113" s="27">
        <v>29000000</v>
      </c>
      <c r="D113" s="72">
        <v>1980000</v>
      </c>
      <c r="E113" s="60">
        <f t="shared" si="0"/>
        <v>0.06827586206896552</v>
      </c>
      <c r="F113" s="92"/>
      <c r="G113" s="85"/>
      <c r="H113" s="67"/>
      <c r="I113" s="67"/>
      <c r="J113" s="67"/>
      <c r="K113" s="67"/>
      <c r="L113" s="67"/>
      <c r="M113" s="67"/>
      <c r="N113" s="67"/>
    </row>
    <row r="114" spans="1:14" s="39" customFormat="1" ht="24" customHeight="1">
      <c r="A114" s="21">
        <v>6950</v>
      </c>
      <c r="B114" s="24" t="s">
        <v>118</v>
      </c>
      <c r="C114" s="49">
        <f>SUM(C115:C118)</f>
        <v>48446000</v>
      </c>
      <c r="D114" s="49">
        <f>SUM(D115:D118)</f>
        <v>0</v>
      </c>
      <c r="E114" s="49">
        <f>SUM(E115:E118)</f>
        <v>0</v>
      </c>
      <c r="F114" s="91"/>
      <c r="G114" s="87"/>
      <c r="H114" s="68"/>
      <c r="I114" s="68"/>
      <c r="J114" s="68"/>
      <c r="K114" s="68"/>
      <c r="L114" s="68"/>
      <c r="M114" s="68"/>
      <c r="N114" s="68"/>
    </row>
    <row r="115" spans="1:14" s="37" customFormat="1" ht="24" customHeight="1">
      <c r="A115" s="11">
        <v>6954</v>
      </c>
      <c r="B115" s="29" t="s">
        <v>119</v>
      </c>
      <c r="C115" s="27">
        <v>11833000</v>
      </c>
      <c r="D115" s="27"/>
      <c r="E115" s="60">
        <f aca="true" t="shared" si="1" ref="E115:E138">(D115/C115)</f>
        <v>0</v>
      </c>
      <c r="F115" s="92"/>
      <c r="G115" s="85"/>
      <c r="H115" s="67"/>
      <c r="I115" s="67"/>
      <c r="J115" s="67"/>
      <c r="K115" s="67"/>
      <c r="L115" s="67"/>
      <c r="M115" s="67"/>
      <c r="N115" s="67"/>
    </row>
    <row r="116" spans="1:14" s="37" customFormat="1" ht="24" customHeight="1">
      <c r="A116" s="11">
        <v>6955</v>
      </c>
      <c r="B116" s="29" t="s">
        <v>120</v>
      </c>
      <c r="C116" s="27">
        <v>9613000</v>
      </c>
      <c r="D116" s="27"/>
      <c r="E116" s="60">
        <f t="shared" si="1"/>
        <v>0</v>
      </c>
      <c r="F116" s="92"/>
      <c r="G116" s="85"/>
      <c r="H116" s="67"/>
      <c r="I116" s="67"/>
      <c r="J116" s="67"/>
      <c r="K116" s="67"/>
      <c r="L116" s="67"/>
      <c r="M116" s="67"/>
      <c r="N116" s="67"/>
    </row>
    <row r="117" spans="1:14" s="37" customFormat="1" ht="24" customHeight="1">
      <c r="A117" s="11">
        <v>6999</v>
      </c>
      <c r="B117" s="29" t="s">
        <v>122</v>
      </c>
      <c r="C117" s="27">
        <v>12000000</v>
      </c>
      <c r="D117" s="27"/>
      <c r="E117" s="60">
        <f t="shared" si="1"/>
        <v>0</v>
      </c>
      <c r="F117" s="92"/>
      <c r="G117" s="85"/>
      <c r="H117" s="67"/>
      <c r="I117" s="67"/>
      <c r="J117" s="67"/>
      <c r="K117" s="67"/>
      <c r="L117" s="67"/>
      <c r="M117" s="67"/>
      <c r="N117" s="67"/>
    </row>
    <row r="118" spans="1:14" s="37" customFormat="1" ht="24" customHeight="1">
      <c r="A118" s="11">
        <v>6999</v>
      </c>
      <c r="B118" s="29" t="s">
        <v>121</v>
      </c>
      <c r="C118" s="27">
        <v>15000000</v>
      </c>
      <c r="D118" s="27"/>
      <c r="E118" s="60">
        <f t="shared" si="1"/>
        <v>0</v>
      </c>
      <c r="F118" s="92"/>
      <c r="G118" s="85"/>
      <c r="H118" s="67"/>
      <c r="I118" s="67"/>
      <c r="J118" s="67"/>
      <c r="K118" s="67"/>
      <c r="L118" s="67"/>
      <c r="M118" s="67"/>
      <c r="N118" s="67"/>
    </row>
    <row r="119" spans="1:14" s="37" customFormat="1" ht="22.5" customHeight="1">
      <c r="A119" s="18">
        <v>7000</v>
      </c>
      <c r="B119" s="18" t="s">
        <v>70</v>
      </c>
      <c r="C119" s="13">
        <f>SUM(C120:C127)</f>
        <v>364279400</v>
      </c>
      <c r="D119" s="13">
        <f>SUM(D120:D126)</f>
        <v>155951102</v>
      </c>
      <c r="E119" s="102">
        <f>SUM(E120:E126)</f>
        <v>2.347579564006478</v>
      </c>
      <c r="F119" s="91">
        <f>G119/D119</f>
        <v>1.0288417198873017</v>
      </c>
      <c r="G119" s="85">
        <v>160449000</v>
      </c>
      <c r="H119" s="67">
        <f>G119-D119</f>
        <v>4497898</v>
      </c>
      <c r="I119" s="67"/>
      <c r="J119" s="67"/>
      <c r="K119" s="67"/>
      <c r="L119" s="67"/>
      <c r="M119" s="67"/>
      <c r="N119" s="67"/>
    </row>
    <row r="120" spans="1:14" s="37" customFormat="1" ht="22.5" customHeight="1">
      <c r="A120" s="11">
        <v>7001</v>
      </c>
      <c r="B120" s="11" t="s">
        <v>158</v>
      </c>
      <c r="C120" s="27">
        <v>33156800</v>
      </c>
      <c r="D120" s="72">
        <v>19432702</v>
      </c>
      <c r="E120" s="60">
        <f t="shared" si="1"/>
        <v>0.5860849659798292</v>
      </c>
      <c r="F120" s="90"/>
      <c r="G120" s="85"/>
      <c r="H120" s="67"/>
      <c r="I120" s="67"/>
      <c r="J120" s="67"/>
      <c r="K120" s="67"/>
      <c r="L120" s="67"/>
      <c r="M120" s="67"/>
      <c r="N120" s="67"/>
    </row>
    <row r="121" spans="1:14" s="37" customFormat="1" ht="22.5" customHeight="1">
      <c r="A121" s="11">
        <v>7004</v>
      </c>
      <c r="B121" s="11" t="s">
        <v>159</v>
      </c>
      <c r="C121" s="27">
        <v>1820000</v>
      </c>
      <c r="D121" s="72"/>
      <c r="E121" s="60">
        <f t="shared" si="1"/>
        <v>0</v>
      </c>
      <c r="F121" s="90"/>
      <c r="G121" s="85"/>
      <c r="H121" s="67"/>
      <c r="I121" s="67"/>
      <c r="J121" s="67"/>
      <c r="K121" s="67"/>
      <c r="L121" s="67"/>
      <c r="M121" s="67"/>
      <c r="N121" s="67"/>
    </row>
    <row r="122" spans="1:14" s="37" customFormat="1" ht="36.75" customHeight="1">
      <c r="A122" s="11">
        <v>7012</v>
      </c>
      <c r="B122" s="29" t="s">
        <v>160</v>
      </c>
      <c r="C122" s="27">
        <v>7500000</v>
      </c>
      <c r="D122" s="72"/>
      <c r="E122" s="60">
        <f t="shared" si="1"/>
        <v>0</v>
      </c>
      <c r="F122" s="90"/>
      <c r="G122" s="85"/>
      <c r="H122" s="67">
        <f>G122-C119</f>
        <v>-364279400</v>
      </c>
      <c r="I122" s="67"/>
      <c r="J122" s="67"/>
      <c r="K122" s="67"/>
      <c r="L122" s="67"/>
      <c r="M122" s="67"/>
      <c r="N122" s="67"/>
    </row>
    <row r="123" spans="1:14" s="37" customFormat="1" ht="22.5" customHeight="1">
      <c r="A123" s="30">
        <v>7049</v>
      </c>
      <c r="B123" s="11" t="s">
        <v>161</v>
      </c>
      <c r="C123" s="27">
        <v>37400000</v>
      </c>
      <c r="D123" s="72"/>
      <c r="E123" s="60">
        <f t="shared" si="1"/>
        <v>0</v>
      </c>
      <c r="F123" s="90"/>
      <c r="G123" s="85"/>
      <c r="H123" s="67"/>
      <c r="I123" s="67"/>
      <c r="J123" s="67"/>
      <c r="K123" s="67"/>
      <c r="L123" s="67"/>
      <c r="M123" s="67"/>
      <c r="N123" s="67"/>
    </row>
    <row r="124" spans="1:14" s="37" customFormat="1" ht="22.5" customHeight="1">
      <c r="A124" s="30">
        <v>7049</v>
      </c>
      <c r="B124" s="11" t="s">
        <v>162</v>
      </c>
      <c r="C124" s="27">
        <v>67000000</v>
      </c>
      <c r="D124" s="72">
        <v>67000000</v>
      </c>
      <c r="E124" s="60">
        <f t="shared" si="1"/>
        <v>1</v>
      </c>
      <c r="F124" s="92"/>
      <c r="G124" s="85"/>
      <c r="H124" s="67">
        <f>C119</f>
        <v>364279400</v>
      </c>
      <c r="I124" s="67">
        <f>H124-G124</f>
        <v>364279400</v>
      </c>
      <c r="J124" s="67"/>
      <c r="K124" s="67"/>
      <c r="L124" s="67"/>
      <c r="M124" s="67"/>
      <c r="N124" s="67"/>
    </row>
    <row r="125" spans="1:14" s="37" customFormat="1" ht="22.5" customHeight="1">
      <c r="A125" s="30">
        <v>7049</v>
      </c>
      <c r="B125" s="11" t="s">
        <v>163</v>
      </c>
      <c r="C125" s="27">
        <f>217802600-29176800-26300000</f>
        <v>162325800</v>
      </c>
      <c r="D125" s="72">
        <f>66000000-5684600</f>
        <v>60315400</v>
      </c>
      <c r="E125" s="60">
        <f t="shared" si="1"/>
        <v>0.3715700153641627</v>
      </c>
      <c r="F125" s="94"/>
      <c r="G125" s="85"/>
      <c r="H125" s="67">
        <v>383702600</v>
      </c>
      <c r="I125" s="67"/>
      <c r="J125" s="67"/>
      <c r="K125" s="67"/>
      <c r="L125" s="67"/>
      <c r="M125" s="67"/>
      <c r="N125" s="67"/>
    </row>
    <row r="126" spans="1:14" s="37" customFormat="1" ht="22.5" customHeight="1">
      <c r="A126" s="30">
        <v>7049</v>
      </c>
      <c r="B126" s="11" t="s">
        <v>164</v>
      </c>
      <c r="C126" s="27">
        <f>69202000-10000000-3600000-15000000-17000000</f>
        <v>23602000</v>
      </c>
      <c r="D126" s="72">
        <v>9203000</v>
      </c>
      <c r="E126" s="60">
        <f t="shared" si="1"/>
        <v>0.38992458266248625</v>
      </c>
      <c r="F126" s="94"/>
      <c r="G126" s="85"/>
      <c r="H126" s="67">
        <f>H125-C123-C124-C125-C126-C127</f>
        <v>61900000</v>
      </c>
      <c r="I126" s="67"/>
      <c r="J126" s="67"/>
      <c r="K126" s="67"/>
      <c r="L126" s="67"/>
      <c r="M126" s="67"/>
      <c r="N126" s="67"/>
    </row>
    <row r="127" spans="1:14" s="37" customFormat="1" ht="22.5" customHeight="1">
      <c r="A127" s="30">
        <v>7049</v>
      </c>
      <c r="B127" s="11" t="s">
        <v>129</v>
      </c>
      <c r="C127" s="27">
        <f>31474800</f>
        <v>31474800</v>
      </c>
      <c r="D127" s="72">
        <v>6800000</v>
      </c>
      <c r="E127" s="60">
        <f t="shared" si="1"/>
        <v>0.21604585255505993</v>
      </c>
      <c r="F127" s="94"/>
      <c r="G127" s="85"/>
      <c r="H127" s="67"/>
      <c r="I127" s="67"/>
      <c r="J127" s="67"/>
      <c r="K127" s="67"/>
      <c r="L127" s="67"/>
      <c r="M127" s="67"/>
      <c r="N127" s="67"/>
    </row>
    <row r="128" spans="1:14" s="37" customFormat="1" ht="22.5" customHeight="1">
      <c r="A128" s="18">
        <v>7750</v>
      </c>
      <c r="B128" s="18" t="s">
        <v>65</v>
      </c>
      <c r="C128" s="13">
        <f>SUM(C129:C132)</f>
        <v>100478000</v>
      </c>
      <c r="D128" s="13">
        <f>SUM(D129:D132)</f>
        <v>24597600</v>
      </c>
      <c r="E128" s="102">
        <f>SUM(E129:E132)</f>
        <v>0.7428408151153845</v>
      </c>
      <c r="F128" s="91"/>
      <c r="G128" s="85">
        <v>136872200</v>
      </c>
      <c r="H128" s="67"/>
      <c r="I128" s="67"/>
      <c r="J128" s="67"/>
      <c r="K128" s="67"/>
      <c r="L128" s="67"/>
      <c r="M128" s="67"/>
      <c r="N128" s="67"/>
    </row>
    <row r="129" spans="1:14" s="37" customFormat="1" ht="22.5" customHeight="1">
      <c r="A129" s="11">
        <v>7756</v>
      </c>
      <c r="B129" s="11" t="s">
        <v>165</v>
      </c>
      <c r="C129" s="27">
        <v>5888000</v>
      </c>
      <c r="D129" s="27">
        <v>314600</v>
      </c>
      <c r="E129" s="60">
        <f t="shared" si="1"/>
        <v>0.05343070652173913</v>
      </c>
      <c r="F129" s="92"/>
      <c r="G129" s="85"/>
      <c r="H129" s="67"/>
      <c r="I129" s="67"/>
      <c r="J129" s="67"/>
      <c r="K129" s="67"/>
      <c r="L129" s="67"/>
      <c r="M129" s="67"/>
      <c r="N129" s="67"/>
    </row>
    <row r="130" spans="1:14" s="37" customFormat="1" ht="31.5" customHeight="1">
      <c r="A130" s="11">
        <v>7757</v>
      </c>
      <c r="B130" s="29" t="s">
        <v>139</v>
      </c>
      <c r="C130" s="27">
        <v>15000000</v>
      </c>
      <c r="D130" s="27"/>
      <c r="E130" s="60">
        <f t="shared" si="1"/>
        <v>0</v>
      </c>
      <c r="F130" s="92"/>
      <c r="G130" s="85"/>
      <c r="H130" s="67"/>
      <c r="I130" s="67"/>
      <c r="J130" s="67"/>
      <c r="K130" s="67"/>
      <c r="L130" s="67"/>
      <c r="M130" s="67"/>
      <c r="N130" s="67"/>
    </row>
    <row r="131" spans="1:14" s="37" customFormat="1" ht="22.5" customHeight="1">
      <c r="A131" s="11">
        <v>7761</v>
      </c>
      <c r="B131" s="11" t="s">
        <v>123</v>
      </c>
      <c r="C131" s="27">
        <v>5000000</v>
      </c>
      <c r="D131" s="27">
        <v>1950000</v>
      </c>
      <c r="E131" s="60">
        <f t="shared" si="1"/>
        <v>0.39</v>
      </c>
      <c r="F131" s="92"/>
      <c r="G131" s="85"/>
      <c r="H131" s="67"/>
      <c r="I131" s="67"/>
      <c r="J131" s="67"/>
      <c r="K131" s="67"/>
      <c r="L131" s="67"/>
      <c r="M131" s="67"/>
      <c r="N131" s="67"/>
    </row>
    <row r="132" spans="1:14" s="37" customFormat="1" ht="22.5" customHeight="1">
      <c r="A132" s="25">
        <v>7799</v>
      </c>
      <c r="B132" s="11" t="s">
        <v>129</v>
      </c>
      <c r="C132" s="27">
        <f>29500000+64050000-18960000</f>
        <v>74590000</v>
      </c>
      <c r="D132" s="27">
        <v>22333000</v>
      </c>
      <c r="E132" s="60">
        <f t="shared" si="1"/>
        <v>0.29941010859364525</v>
      </c>
      <c r="F132" s="92"/>
      <c r="G132" s="85"/>
      <c r="H132" s="67"/>
      <c r="I132" s="67"/>
      <c r="J132" s="67"/>
      <c r="K132" s="67"/>
      <c r="L132" s="67"/>
      <c r="M132" s="67"/>
      <c r="N132" s="67"/>
    </row>
    <row r="133" spans="1:14" s="37" customFormat="1" ht="35.25" customHeight="1">
      <c r="A133" s="128">
        <v>1.2</v>
      </c>
      <c r="B133" s="129" t="s">
        <v>5</v>
      </c>
      <c r="C133" s="138">
        <f>C134+C137+C139+C141+C144+C150</f>
        <v>1012422000</v>
      </c>
      <c r="D133" s="138">
        <f>D134+D137+D139+D141+D144+D150</f>
        <v>508391896</v>
      </c>
      <c r="E133" s="139">
        <f>E134+E137+E139+E141+E144+E150</f>
        <v>2.2797150750874398</v>
      </c>
      <c r="F133" s="140">
        <f>G133/D133</f>
        <v>0.2994166531718279</v>
      </c>
      <c r="G133" s="101">
        <f>G134+G137+G139+G141+G144+G150</f>
        <v>152221000</v>
      </c>
      <c r="H133" s="67">
        <v>209792759</v>
      </c>
      <c r="I133" s="67">
        <f>H133-D133</f>
        <v>-298599137</v>
      </c>
      <c r="J133" s="67"/>
      <c r="K133" s="67"/>
      <c r="L133" s="67"/>
      <c r="M133" s="67"/>
      <c r="N133" s="67"/>
    </row>
    <row r="134" spans="1:14" s="37" customFormat="1" ht="22.5" customHeight="1">
      <c r="A134" s="18">
        <v>6100</v>
      </c>
      <c r="B134" s="28" t="s">
        <v>35</v>
      </c>
      <c r="C134" s="101">
        <f>SUM(C135:C136)</f>
        <v>269000000</v>
      </c>
      <c r="D134" s="101">
        <f>SUM(D135:D136)</f>
        <v>0</v>
      </c>
      <c r="E134" s="60">
        <f t="shared" si="1"/>
        <v>0</v>
      </c>
      <c r="F134" s="91"/>
      <c r="G134" s="85"/>
      <c r="H134" s="67"/>
      <c r="I134" s="67"/>
      <c r="J134" s="67"/>
      <c r="K134" s="67"/>
      <c r="L134" s="67"/>
      <c r="M134" s="67"/>
      <c r="N134" s="67"/>
    </row>
    <row r="135" spans="1:14" s="37" customFormat="1" ht="22.5" customHeight="1">
      <c r="A135" s="11">
        <v>6105</v>
      </c>
      <c r="B135" s="11" t="s">
        <v>78</v>
      </c>
      <c r="C135" s="12">
        <v>264000000</v>
      </c>
      <c r="D135" s="12"/>
      <c r="E135" s="60">
        <f t="shared" si="1"/>
        <v>0</v>
      </c>
      <c r="F135" s="95"/>
      <c r="G135" s="85"/>
      <c r="H135" s="67"/>
      <c r="I135" s="67"/>
      <c r="J135" s="67"/>
      <c r="K135" s="67"/>
      <c r="L135" s="67"/>
      <c r="M135" s="67"/>
      <c r="N135" s="67"/>
    </row>
    <row r="136" spans="1:14" s="37" customFormat="1" ht="22.5" customHeight="1">
      <c r="A136" s="11">
        <v>6149</v>
      </c>
      <c r="B136" s="11" t="s">
        <v>99</v>
      </c>
      <c r="C136" s="12">
        <v>5000000</v>
      </c>
      <c r="D136" s="12"/>
      <c r="E136" s="60">
        <f t="shared" si="1"/>
        <v>0</v>
      </c>
      <c r="F136" s="95"/>
      <c r="G136" s="85"/>
      <c r="H136" s="67"/>
      <c r="I136" s="67"/>
      <c r="J136" s="67"/>
      <c r="K136" s="67"/>
      <c r="L136" s="67"/>
      <c r="M136" s="67"/>
      <c r="N136" s="67"/>
    </row>
    <row r="137" spans="1:14" s="37" customFormat="1" ht="22.5" customHeight="1">
      <c r="A137" s="18">
        <v>6400</v>
      </c>
      <c r="B137" s="44" t="s">
        <v>79</v>
      </c>
      <c r="C137" s="13">
        <f>SUM(C138:C138)</f>
        <v>78943680</v>
      </c>
      <c r="D137" s="13">
        <f>SUM(D138:D138)</f>
        <v>16964520</v>
      </c>
      <c r="E137" s="102">
        <f>SUM(E138:E138)</f>
        <v>0.214893959845804</v>
      </c>
      <c r="F137" s="91">
        <f>G137/D137</f>
        <v>1.0091060637141516</v>
      </c>
      <c r="G137" s="85">
        <v>17119000</v>
      </c>
      <c r="H137" s="67"/>
      <c r="I137" s="67"/>
      <c r="J137" s="67"/>
      <c r="K137" s="67"/>
      <c r="L137" s="67"/>
      <c r="M137" s="67"/>
      <c r="N137" s="67"/>
    </row>
    <row r="138" spans="1:14" s="37" customFormat="1" ht="24.75" customHeight="1">
      <c r="A138" s="11">
        <v>6449</v>
      </c>
      <c r="B138" s="11" t="s">
        <v>124</v>
      </c>
      <c r="C138" s="27">
        <v>78943680</v>
      </c>
      <c r="D138" s="12">
        <v>16964520</v>
      </c>
      <c r="E138" s="60">
        <f t="shared" si="1"/>
        <v>0.214893959845804</v>
      </c>
      <c r="F138" s="94"/>
      <c r="G138" s="85"/>
      <c r="H138" s="67"/>
      <c r="I138" s="67"/>
      <c r="J138" s="67"/>
      <c r="K138" s="67"/>
      <c r="L138" s="67"/>
      <c r="M138" s="67"/>
      <c r="N138" s="67"/>
    </row>
    <row r="139" spans="1:14" s="37" customFormat="1" ht="24.75" customHeight="1">
      <c r="A139" s="45" t="s">
        <v>85</v>
      </c>
      <c r="B139" s="18" t="s">
        <v>86</v>
      </c>
      <c r="C139" s="13">
        <f>SUM(C140)</f>
        <v>11100000</v>
      </c>
      <c r="D139" s="13">
        <f>SUM(D140)</f>
        <v>0</v>
      </c>
      <c r="E139" s="59"/>
      <c r="F139" s="91"/>
      <c r="G139" s="85"/>
      <c r="H139" s="67"/>
      <c r="I139" s="67"/>
      <c r="J139" s="67"/>
      <c r="K139" s="67"/>
      <c r="L139" s="67"/>
      <c r="M139" s="67"/>
      <c r="N139" s="67"/>
    </row>
    <row r="140" spans="1:14" s="37" customFormat="1" ht="24.75" customHeight="1">
      <c r="A140" s="11">
        <v>6758</v>
      </c>
      <c r="B140" s="11" t="s">
        <v>80</v>
      </c>
      <c r="C140" s="74">
        <v>11100000</v>
      </c>
      <c r="D140" s="12"/>
      <c r="E140" s="60">
        <f>(D140/C140)</f>
        <v>0</v>
      </c>
      <c r="F140" s="90"/>
      <c r="G140" s="85"/>
      <c r="H140" s="67"/>
      <c r="I140" s="67"/>
      <c r="J140" s="67"/>
      <c r="K140" s="67"/>
      <c r="L140" s="67"/>
      <c r="M140" s="67"/>
      <c r="N140" s="67"/>
    </row>
    <row r="141" spans="1:14" s="37" customFormat="1" ht="24.75" customHeight="1">
      <c r="A141" s="18">
        <v>7000</v>
      </c>
      <c r="B141" s="18" t="s">
        <v>81</v>
      </c>
      <c r="C141" s="13">
        <f>C142+C143</f>
        <v>10438320</v>
      </c>
      <c r="D141" s="13">
        <f>D142+D143</f>
        <v>0</v>
      </c>
      <c r="E141" s="102">
        <f>E142+E143</f>
        <v>0</v>
      </c>
      <c r="F141" s="91"/>
      <c r="G141" s="85"/>
      <c r="H141" s="67"/>
      <c r="I141" s="67"/>
      <c r="J141" s="67"/>
      <c r="K141" s="67"/>
      <c r="L141" s="67"/>
      <c r="M141" s="67"/>
      <c r="N141" s="67"/>
    </row>
    <row r="142" spans="1:14" s="37" customFormat="1" ht="24.75" customHeight="1">
      <c r="A142" s="11">
        <v>7004</v>
      </c>
      <c r="B142" s="11" t="s">
        <v>82</v>
      </c>
      <c r="C142" s="27">
        <v>1800000</v>
      </c>
      <c r="D142" s="27"/>
      <c r="E142" s="60">
        <f>(D142/C142)</f>
        <v>0</v>
      </c>
      <c r="F142" s="90"/>
      <c r="G142" s="85"/>
      <c r="H142" s="67"/>
      <c r="I142" s="67"/>
      <c r="J142" s="67"/>
      <c r="K142" s="67"/>
      <c r="L142" s="67"/>
      <c r="M142" s="67"/>
      <c r="N142" s="67"/>
    </row>
    <row r="143" spans="1:14" s="37" customFormat="1" ht="24.75" customHeight="1">
      <c r="A143" s="11">
        <v>7049</v>
      </c>
      <c r="B143" s="11" t="s">
        <v>76</v>
      </c>
      <c r="C143" s="27">
        <v>8638320</v>
      </c>
      <c r="D143" s="27"/>
      <c r="E143" s="60">
        <f>(D143/C143)</f>
        <v>0</v>
      </c>
      <c r="F143" s="90"/>
      <c r="G143" s="85"/>
      <c r="H143" s="67"/>
      <c r="I143" s="67"/>
      <c r="J143" s="67"/>
      <c r="K143" s="67"/>
      <c r="L143" s="67"/>
      <c r="M143" s="67"/>
      <c r="N143" s="67"/>
    </row>
    <row r="144" spans="1:14" s="37" customFormat="1" ht="24.75" customHeight="1">
      <c r="A144" s="18">
        <v>7750</v>
      </c>
      <c r="B144" s="18" t="s">
        <v>65</v>
      </c>
      <c r="C144" s="13">
        <f>SUM(C145:C149)</f>
        <v>208800000</v>
      </c>
      <c r="D144" s="13">
        <f>SUM(D145:D149)</f>
        <v>57287376</v>
      </c>
      <c r="E144" s="59">
        <f>SUM(E145:E149)</f>
        <v>1.0648211152416356</v>
      </c>
      <c r="F144" s="91">
        <f>G144/D144</f>
        <v>2.358320618490189</v>
      </c>
      <c r="G144" s="85">
        <v>135102000</v>
      </c>
      <c r="H144" s="67">
        <f>G144-C144</f>
        <v>-73698000</v>
      </c>
      <c r="I144" s="67"/>
      <c r="J144" s="67"/>
      <c r="K144" s="67"/>
      <c r="L144" s="67"/>
      <c r="M144" s="67"/>
      <c r="N144" s="67"/>
    </row>
    <row r="145" spans="1:14" s="37" customFormat="1" ht="36.75" customHeight="1">
      <c r="A145" s="11">
        <v>7753</v>
      </c>
      <c r="B145" s="29" t="s">
        <v>137</v>
      </c>
      <c r="C145" s="27">
        <f>39000000</f>
        <v>39000000</v>
      </c>
      <c r="D145" s="13"/>
      <c r="E145" s="59"/>
      <c r="F145" s="91"/>
      <c r="G145" s="85"/>
      <c r="H145" s="67"/>
      <c r="I145" s="67"/>
      <c r="J145" s="67"/>
      <c r="K145" s="67"/>
      <c r="L145" s="67"/>
      <c r="M145" s="67"/>
      <c r="N145" s="67"/>
    </row>
    <row r="146" spans="1:14" s="37" customFormat="1" ht="28.5" customHeight="1">
      <c r="A146" s="11">
        <v>7799</v>
      </c>
      <c r="B146" s="11" t="s">
        <v>126</v>
      </c>
      <c r="C146" s="27">
        <v>96000000</v>
      </c>
      <c r="D146" s="27"/>
      <c r="E146" s="60">
        <f>(D146/C146)</f>
        <v>0</v>
      </c>
      <c r="F146" s="94"/>
      <c r="G146" s="85"/>
      <c r="H146" s="67"/>
      <c r="I146" s="67"/>
      <c r="J146" s="67"/>
      <c r="K146" s="67"/>
      <c r="L146" s="67"/>
      <c r="M146" s="67"/>
      <c r="N146" s="67"/>
    </row>
    <row r="147" spans="1:14" s="37" customFormat="1" ht="28.5" customHeight="1">
      <c r="A147" s="11">
        <v>7799</v>
      </c>
      <c r="B147" s="11" t="s">
        <v>83</v>
      </c>
      <c r="C147" s="27">
        <v>10000000</v>
      </c>
      <c r="D147" s="27"/>
      <c r="E147" s="60">
        <f>(D147/C147)</f>
        <v>0</v>
      </c>
      <c r="F147" s="94"/>
      <c r="G147" s="85"/>
      <c r="H147" s="67"/>
      <c r="I147" s="67"/>
      <c r="J147" s="67"/>
      <c r="K147" s="67"/>
      <c r="L147" s="67"/>
      <c r="M147" s="67"/>
      <c r="N147" s="67"/>
    </row>
    <row r="148" spans="1:14" s="37" customFormat="1" ht="28.5" customHeight="1">
      <c r="A148" s="11">
        <v>7799</v>
      </c>
      <c r="B148" s="11" t="s">
        <v>84</v>
      </c>
      <c r="C148" s="27">
        <v>10000000</v>
      </c>
      <c r="D148" s="27"/>
      <c r="E148" s="60">
        <f>(D148/C148)</f>
        <v>0</v>
      </c>
      <c r="F148" s="94"/>
      <c r="G148" s="85"/>
      <c r="H148" s="67"/>
      <c r="I148" s="67"/>
      <c r="J148" s="67"/>
      <c r="K148" s="67"/>
      <c r="L148" s="67"/>
      <c r="M148" s="67"/>
      <c r="N148" s="67"/>
    </row>
    <row r="149" spans="1:14" s="37" customFormat="1" ht="28.5" customHeight="1">
      <c r="A149" s="11">
        <v>7799</v>
      </c>
      <c r="B149" s="11" t="s">
        <v>131</v>
      </c>
      <c r="C149" s="27">
        <f>48000000+1800000-40261680+261680+44000000</f>
        <v>53800000</v>
      </c>
      <c r="D149" s="27">
        <v>57287376</v>
      </c>
      <c r="E149" s="60">
        <f>(D149/C149)</f>
        <v>1.0648211152416356</v>
      </c>
      <c r="F149" s="94"/>
      <c r="G149" s="85"/>
      <c r="H149" s="67"/>
      <c r="I149" s="67"/>
      <c r="J149" s="67"/>
      <c r="K149" s="67"/>
      <c r="L149" s="67"/>
      <c r="M149" s="67"/>
      <c r="N149" s="67"/>
    </row>
    <row r="150" spans="1:14" s="37" customFormat="1" ht="28.5" customHeight="1">
      <c r="A150" s="46">
        <v>6950</v>
      </c>
      <c r="B150" s="46" t="s">
        <v>127</v>
      </c>
      <c r="C150" s="13">
        <f>SUM(C151:C152)</f>
        <v>434140000</v>
      </c>
      <c r="D150" s="13">
        <f>SUM(D151:D152)</f>
        <v>434140000</v>
      </c>
      <c r="E150" s="59">
        <f>E151</f>
        <v>1</v>
      </c>
      <c r="F150" s="91"/>
      <c r="G150" s="85"/>
      <c r="H150" s="67"/>
      <c r="I150" s="67"/>
      <c r="J150" s="67"/>
      <c r="K150" s="67"/>
      <c r="L150" s="67"/>
      <c r="M150" s="67"/>
      <c r="N150" s="67"/>
    </row>
    <row r="151" spans="1:14" s="37" customFormat="1" ht="28.5" customHeight="1">
      <c r="A151" s="11">
        <v>6954</v>
      </c>
      <c r="B151" s="124" t="s">
        <v>178</v>
      </c>
      <c r="C151" s="27">
        <v>294000000</v>
      </c>
      <c r="D151" s="27">
        <v>294000000</v>
      </c>
      <c r="E151" s="60">
        <f>(D151/C151)</f>
        <v>1</v>
      </c>
      <c r="F151" s="90"/>
      <c r="G151" s="85">
        <v>227000000</v>
      </c>
      <c r="H151" s="67"/>
      <c r="I151" s="67"/>
      <c r="J151" s="67"/>
      <c r="K151" s="67"/>
      <c r="L151" s="67"/>
      <c r="M151" s="67"/>
      <c r="N151" s="67"/>
    </row>
    <row r="152" spans="1:14" s="37" customFormat="1" ht="28.5" customHeight="1">
      <c r="A152" s="11">
        <v>6954</v>
      </c>
      <c r="B152" s="124" t="s">
        <v>179</v>
      </c>
      <c r="C152" s="27">
        <v>140140000</v>
      </c>
      <c r="D152" s="27">
        <v>140140000</v>
      </c>
      <c r="E152" s="60">
        <f>(D152/C152)</f>
        <v>1</v>
      </c>
      <c r="F152" s="90"/>
      <c r="G152" s="85"/>
      <c r="H152" s="67"/>
      <c r="I152" s="67"/>
      <c r="J152" s="67"/>
      <c r="K152" s="67"/>
      <c r="L152" s="67"/>
      <c r="M152" s="67"/>
      <c r="N152" s="67"/>
    </row>
    <row r="153" spans="1:14" s="37" customFormat="1" ht="28.5" customHeight="1">
      <c r="A153" s="18">
        <v>7750</v>
      </c>
      <c r="B153" s="18" t="s">
        <v>180</v>
      </c>
      <c r="C153" s="13">
        <f>C154</f>
        <v>4500000</v>
      </c>
      <c r="D153" s="13"/>
      <c r="E153" s="62"/>
      <c r="F153" s="126"/>
      <c r="G153" s="85"/>
      <c r="H153" s="67"/>
      <c r="I153" s="67"/>
      <c r="J153" s="67"/>
      <c r="K153" s="67"/>
      <c r="L153" s="67"/>
      <c r="M153" s="67"/>
      <c r="N153" s="67"/>
    </row>
    <row r="154" spans="1:14" s="37" customFormat="1" ht="28.5" customHeight="1">
      <c r="A154" s="11">
        <v>7799</v>
      </c>
      <c r="B154" s="124" t="s">
        <v>181</v>
      </c>
      <c r="C154" s="27">
        <v>4500000</v>
      </c>
      <c r="D154" s="27"/>
      <c r="E154" s="60"/>
      <c r="F154" s="90"/>
      <c r="G154" s="85"/>
      <c r="H154" s="67"/>
      <c r="I154" s="67"/>
      <c r="J154" s="67"/>
      <c r="K154" s="67"/>
      <c r="L154" s="67"/>
      <c r="M154" s="67"/>
      <c r="N154" s="67"/>
    </row>
    <row r="155" spans="1:14" s="37" customFormat="1" ht="12" customHeight="1">
      <c r="A155" s="120"/>
      <c r="B155" s="125"/>
      <c r="C155" s="121"/>
      <c r="D155" s="121"/>
      <c r="E155" s="122"/>
      <c r="F155" s="123"/>
      <c r="G155" s="85"/>
      <c r="H155" s="67"/>
      <c r="I155" s="67"/>
      <c r="J155" s="67"/>
      <c r="K155" s="67"/>
      <c r="L155" s="67"/>
      <c r="M155" s="67"/>
      <c r="N155" s="67"/>
    </row>
    <row r="156" ht="15.75">
      <c r="A156" s="34"/>
    </row>
    <row r="157" spans="1:6" ht="15.75">
      <c r="A157" s="153"/>
      <c r="D157" s="154" t="s">
        <v>183</v>
      </c>
      <c r="E157" s="154"/>
      <c r="F157" s="154"/>
    </row>
    <row r="158" spans="1:6" ht="15.75">
      <c r="A158" s="153"/>
      <c r="D158" s="155" t="s">
        <v>29</v>
      </c>
      <c r="E158" s="155"/>
      <c r="F158" s="155"/>
    </row>
    <row r="159" spans="1:6" ht="15.75">
      <c r="A159" s="40"/>
      <c r="D159" s="171" t="s">
        <v>113</v>
      </c>
      <c r="E159" s="171"/>
      <c r="F159" s="171"/>
    </row>
    <row r="163" spans="4:6" ht="15.75">
      <c r="D163" s="151" t="s">
        <v>185</v>
      </c>
      <c r="E163" s="151"/>
      <c r="F163" s="151"/>
    </row>
  </sheetData>
  <sheetProtection/>
  <mergeCells count="23">
    <mergeCell ref="A1:F1"/>
    <mergeCell ref="A2:B2"/>
    <mergeCell ref="C2:F2"/>
    <mergeCell ref="A3:B3"/>
    <mergeCell ref="C3:F3"/>
    <mergeCell ref="C4:F4"/>
    <mergeCell ref="F11:F12"/>
    <mergeCell ref="A5:F5"/>
    <mergeCell ref="A6:F6"/>
    <mergeCell ref="A7:F7"/>
    <mergeCell ref="A8:F8"/>
    <mergeCell ref="A9:F9"/>
    <mergeCell ref="A10:F10"/>
    <mergeCell ref="D159:F159"/>
    <mergeCell ref="A157:A158"/>
    <mergeCell ref="D157:F157"/>
    <mergeCell ref="D158:F158"/>
    <mergeCell ref="D163:F163"/>
    <mergeCell ref="A11:A12"/>
    <mergeCell ref="B11:B12"/>
    <mergeCell ref="C11:C12"/>
    <mergeCell ref="D11:D12"/>
    <mergeCell ref="E11:E12"/>
  </mergeCells>
  <printOptions/>
  <pageMargins left="0.7086614173228347" right="0.31496062992125984" top="0.5511811023622047" bottom="0.35433070866141736"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N163"/>
  <sheetViews>
    <sheetView tabSelected="1" zoomScalePageLayoutView="0" workbookViewId="0" topLeftCell="A164">
      <selection activeCell="L130" sqref="L130"/>
    </sheetView>
  </sheetViews>
  <sheetFormatPr defaultColWidth="9.00390625" defaultRowHeight="15.75"/>
  <cols>
    <col min="1" max="1" width="5.125" style="14" customWidth="1"/>
    <col min="2" max="2" width="31.00390625" style="14" customWidth="1"/>
    <col min="3" max="3" width="15.125" style="14" customWidth="1"/>
    <col min="4" max="4" width="15.125" style="35" customWidth="1"/>
    <col min="5" max="5" width="13.125" style="65" customWidth="1"/>
    <col min="6" max="6" width="10.25390625" style="96" customWidth="1"/>
    <col min="7" max="7" width="0.5" style="84" customWidth="1"/>
    <col min="8" max="8" width="17.125" style="66" hidden="1" customWidth="1"/>
    <col min="9" max="9" width="2.875" style="66" customWidth="1"/>
    <col min="10" max="10" width="9.00390625" style="66" hidden="1" customWidth="1"/>
    <col min="11" max="14" width="9.00390625" style="66" customWidth="1"/>
    <col min="15" max="16384" width="9.00390625" style="36" customWidth="1"/>
  </cols>
  <sheetData>
    <row r="1" spans="1:6" ht="22.5" customHeight="1">
      <c r="A1" s="168" t="s">
        <v>104</v>
      </c>
      <c r="B1" s="168"/>
      <c r="C1" s="168"/>
      <c r="D1" s="168"/>
      <c r="E1" s="168"/>
      <c r="F1" s="168"/>
    </row>
    <row r="2" spans="1:6" ht="21.75" customHeight="1">
      <c r="A2" s="155" t="s">
        <v>114</v>
      </c>
      <c r="B2" s="155"/>
      <c r="C2" s="155" t="s">
        <v>105</v>
      </c>
      <c r="D2" s="155"/>
      <c r="E2" s="155"/>
      <c r="F2" s="155"/>
    </row>
    <row r="3" spans="1:6" ht="21.75" customHeight="1">
      <c r="A3" s="155" t="s">
        <v>89</v>
      </c>
      <c r="B3" s="155"/>
      <c r="C3" s="166" t="s">
        <v>111</v>
      </c>
      <c r="D3" s="155"/>
      <c r="E3" s="155"/>
      <c r="F3" s="155"/>
    </row>
    <row r="4" spans="1:6" ht="21.75" customHeight="1">
      <c r="A4" s="41"/>
      <c r="B4" s="41"/>
      <c r="C4" s="167" t="s">
        <v>189</v>
      </c>
      <c r="D4" s="167"/>
      <c r="E4" s="167"/>
      <c r="F4" s="167"/>
    </row>
    <row r="5" spans="1:6" ht="27.75" customHeight="1">
      <c r="A5" s="169" t="s">
        <v>182</v>
      </c>
      <c r="B5" s="170"/>
      <c r="C5" s="170"/>
      <c r="D5" s="170"/>
      <c r="E5" s="170"/>
      <c r="F5" s="170"/>
    </row>
    <row r="6" spans="1:6" ht="15.75">
      <c r="A6" s="157" t="s">
        <v>25</v>
      </c>
      <c r="B6" s="157"/>
      <c r="C6" s="157"/>
      <c r="D6" s="157"/>
      <c r="E6" s="157"/>
      <c r="F6" s="157"/>
    </row>
    <row r="7" spans="1:6" ht="39.75" customHeight="1">
      <c r="A7" s="162" t="s">
        <v>108</v>
      </c>
      <c r="B7" s="163"/>
      <c r="C7" s="163"/>
      <c r="D7" s="163"/>
      <c r="E7" s="163"/>
      <c r="F7" s="163"/>
    </row>
    <row r="8" spans="1:6" ht="66" customHeight="1">
      <c r="A8" s="164" t="s">
        <v>109</v>
      </c>
      <c r="B8" s="165"/>
      <c r="C8" s="165"/>
      <c r="D8" s="165"/>
      <c r="E8" s="165"/>
      <c r="F8" s="165"/>
    </row>
    <row r="9" spans="1:6" ht="29.25" customHeight="1">
      <c r="A9" s="162" t="s">
        <v>190</v>
      </c>
      <c r="B9" s="162"/>
      <c r="C9" s="162"/>
      <c r="D9" s="162"/>
      <c r="E9" s="162"/>
      <c r="F9" s="162"/>
    </row>
    <row r="10" spans="1:6" ht="15.75">
      <c r="A10" s="158" t="s">
        <v>87</v>
      </c>
      <c r="B10" s="158"/>
      <c r="C10" s="158"/>
      <c r="D10" s="158"/>
      <c r="E10" s="158"/>
      <c r="F10" s="158"/>
    </row>
    <row r="11" spans="1:6" ht="15.75" customHeight="1">
      <c r="A11" s="152" t="s">
        <v>2</v>
      </c>
      <c r="B11" s="152" t="s">
        <v>3</v>
      </c>
      <c r="C11" s="152" t="s">
        <v>26</v>
      </c>
      <c r="D11" s="152" t="s">
        <v>191</v>
      </c>
      <c r="E11" s="159" t="s">
        <v>106</v>
      </c>
      <c r="F11" s="174" t="s">
        <v>107</v>
      </c>
    </row>
    <row r="12" spans="1:6" ht="79.5" customHeight="1">
      <c r="A12" s="152"/>
      <c r="B12" s="152"/>
      <c r="C12" s="152"/>
      <c r="D12" s="152"/>
      <c r="E12" s="159"/>
      <c r="F12" s="175"/>
    </row>
    <row r="13" spans="1:6" ht="22.5" customHeight="1" hidden="1">
      <c r="A13" s="15">
        <v>1</v>
      </c>
      <c r="B13" s="16" t="s">
        <v>9</v>
      </c>
      <c r="C13" s="15"/>
      <c r="D13" s="15"/>
      <c r="E13" s="57"/>
      <c r="F13" s="90"/>
    </row>
    <row r="14" spans="1:6" ht="22.5" customHeight="1" hidden="1">
      <c r="A14" s="15">
        <v>1.1</v>
      </c>
      <c r="B14" s="16" t="s">
        <v>10</v>
      </c>
      <c r="C14" s="15"/>
      <c r="D14" s="15"/>
      <c r="E14" s="57"/>
      <c r="F14" s="90"/>
    </row>
    <row r="15" spans="1:6" ht="22.5" customHeight="1" hidden="1">
      <c r="A15" s="15"/>
      <c r="B15" s="16" t="s">
        <v>11</v>
      </c>
      <c r="C15" s="15"/>
      <c r="D15" s="15"/>
      <c r="E15" s="57"/>
      <c r="F15" s="90"/>
    </row>
    <row r="16" spans="1:6" ht="22.5" customHeight="1" hidden="1">
      <c r="A16" s="15"/>
      <c r="B16" s="16" t="s">
        <v>12</v>
      </c>
      <c r="C16" s="15"/>
      <c r="D16" s="15"/>
      <c r="E16" s="57"/>
      <c r="F16" s="90"/>
    </row>
    <row r="17" spans="1:6" ht="22.5" customHeight="1" hidden="1">
      <c r="A17" s="15"/>
      <c r="B17" s="16" t="s">
        <v>27</v>
      </c>
      <c r="C17" s="15"/>
      <c r="D17" s="15"/>
      <c r="E17" s="57"/>
      <c r="F17" s="90"/>
    </row>
    <row r="18" spans="1:6" ht="22.5" customHeight="1" hidden="1">
      <c r="A18" s="15">
        <v>1.2</v>
      </c>
      <c r="B18" s="16" t="s">
        <v>13</v>
      </c>
      <c r="C18" s="15"/>
      <c r="D18" s="15"/>
      <c r="E18" s="57"/>
      <c r="F18" s="90"/>
    </row>
    <row r="19" spans="1:6" ht="22.5" customHeight="1" hidden="1">
      <c r="A19" s="15"/>
      <c r="B19" s="16" t="s">
        <v>14</v>
      </c>
      <c r="C19" s="15"/>
      <c r="D19" s="15"/>
      <c r="E19" s="57"/>
      <c r="F19" s="90"/>
    </row>
    <row r="20" spans="1:6" ht="22.5" customHeight="1" hidden="1">
      <c r="A20" s="15"/>
      <c r="B20" s="16" t="s">
        <v>15</v>
      </c>
      <c r="C20" s="15"/>
      <c r="D20" s="15"/>
      <c r="E20" s="57"/>
      <c r="F20" s="90"/>
    </row>
    <row r="21" spans="1:6" ht="22.5" customHeight="1" hidden="1">
      <c r="A21" s="15"/>
      <c r="B21" s="16" t="s">
        <v>27</v>
      </c>
      <c r="C21" s="15"/>
      <c r="D21" s="15"/>
      <c r="E21" s="57"/>
      <c r="F21" s="90"/>
    </row>
    <row r="22" spans="1:6" ht="22.5" customHeight="1" hidden="1">
      <c r="A22" s="15">
        <v>2</v>
      </c>
      <c r="B22" s="16" t="s">
        <v>16</v>
      </c>
      <c r="C22" s="15"/>
      <c r="D22" s="15"/>
      <c r="E22" s="57"/>
      <c r="F22" s="90"/>
    </row>
    <row r="23" spans="1:6" ht="22.5" customHeight="1" hidden="1">
      <c r="A23" s="15">
        <v>2.1</v>
      </c>
      <c r="B23" s="16" t="s">
        <v>28</v>
      </c>
      <c r="C23" s="15"/>
      <c r="D23" s="15"/>
      <c r="E23" s="57"/>
      <c r="F23" s="90"/>
    </row>
    <row r="24" spans="1:6" ht="22.5" customHeight="1" hidden="1">
      <c r="A24" s="15" t="s">
        <v>17</v>
      </c>
      <c r="B24" s="16" t="s">
        <v>18</v>
      </c>
      <c r="C24" s="15"/>
      <c r="D24" s="15"/>
      <c r="E24" s="57"/>
      <c r="F24" s="90"/>
    </row>
    <row r="25" spans="1:6" ht="22.5" customHeight="1" hidden="1">
      <c r="A25" s="15" t="s">
        <v>19</v>
      </c>
      <c r="B25" s="16" t="s">
        <v>6</v>
      </c>
      <c r="C25" s="15"/>
      <c r="D25" s="15"/>
      <c r="E25" s="57"/>
      <c r="F25" s="90"/>
    </row>
    <row r="26" spans="1:6" ht="22.5" customHeight="1" hidden="1">
      <c r="A26" s="15">
        <v>2.2</v>
      </c>
      <c r="B26" s="16" t="s">
        <v>4</v>
      </c>
      <c r="C26" s="15"/>
      <c r="D26" s="15"/>
      <c r="E26" s="57"/>
      <c r="F26" s="90"/>
    </row>
    <row r="27" spans="1:6" ht="22.5" customHeight="1" hidden="1">
      <c r="A27" s="15" t="s">
        <v>17</v>
      </c>
      <c r="B27" s="16" t="s">
        <v>20</v>
      </c>
      <c r="C27" s="15"/>
      <c r="D27" s="15"/>
      <c r="E27" s="57"/>
      <c r="F27" s="90"/>
    </row>
    <row r="28" spans="1:6" ht="22.5" customHeight="1" hidden="1">
      <c r="A28" s="15" t="s">
        <v>19</v>
      </c>
      <c r="B28" s="16" t="s">
        <v>5</v>
      </c>
      <c r="C28" s="15"/>
      <c r="D28" s="15"/>
      <c r="E28" s="57"/>
      <c r="F28" s="90"/>
    </row>
    <row r="29" spans="1:6" ht="22.5" customHeight="1" hidden="1">
      <c r="A29" s="15">
        <v>3</v>
      </c>
      <c r="B29" s="16" t="s">
        <v>21</v>
      </c>
      <c r="C29" s="15"/>
      <c r="D29" s="15"/>
      <c r="E29" s="57"/>
      <c r="F29" s="90"/>
    </row>
    <row r="30" spans="1:6" ht="22.5" customHeight="1" hidden="1">
      <c r="A30" s="15">
        <v>3.1</v>
      </c>
      <c r="B30" s="16" t="s">
        <v>10</v>
      </c>
      <c r="C30" s="15"/>
      <c r="D30" s="15"/>
      <c r="E30" s="57"/>
      <c r="F30" s="90"/>
    </row>
    <row r="31" spans="1:6" ht="22.5" customHeight="1" hidden="1">
      <c r="A31" s="15"/>
      <c r="B31" s="16" t="s">
        <v>11</v>
      </c>
      <c r="C31" s="15"/>
      <c r="D31" s="15"/>
      <c r="E31" s="57"/>
      <c r="F31" s="90"/>
    </row>
    <row r="32" spans="1:6" ht="22.5" customHeight="1" hidden="1">
      <c r="A32" s="15"/>
      <c r="B32" s="16" t="s">
        <v>12</v>
      </c>
      <c r="C32" s="15"/>
      <c r="D32" s="15"/>
      <c r="E32" s="57"/>
      <c r="F32" s="90"/>
    </row>
    <row r="33" spans="1:6" ht="22.5" customHeight="1" hidden="1">
      <c r="A33" s="15"/>
      <c r="B33" s="16" t="s">
        <v>27</v>
      </c>
      <c r="C33" s="15"/>
      <c r="D33" s="15"/>
      <c r="E33" s="57"/>
      <c r="F33" s="90"/>
    </row>
    <row r="34" spans="1:6" ht="22.5" customHeight="1" hidden="1">
      <c r="A34" s="15">
        <v>3.2</v>
      </c>
      <c r="B34" s="16" t="s">
        <v>13</v>
      </c>
      <c r="C34" s="15"/>
      <c r="D34" s="15"/>
      <c r="E34" s="57"/>
      <c r="F34" s="90"/>
    </row>
    <row r="35" spans="1:6" ht="22.5" customHeight="1" hidden="1">
      <c r="A35" s="15"/>
      <c r="B35" s="16" t="s">
        <v>14</v>
      </c>
      <c r="C35" s="15"/>
      <c r="D35" s="15"/>
      <c r="E35" s="57"/>
      <c r="F35" s="90"/>
    </row>
    <row r="36" spans="1:6" ht="22.5" customHeight="1" hidden="1">
      <c r="A36" s="15"/>
      <c r="B36" s="16" t="s">
        <v>15</v>
      </c>
      <c r="C36" s="15"/>
      <c r="D36" s="15"/>
      <c r="E36" s="57"/>
      <c r="F36" s="90"/>
    </row>
    <row r="37" spans="1:6" ht="22.5" customHeight="1" hidden="1">
      <c r="A37" s="15"/>
      <c r="B37" s="16" t="s">
        <v>27</v>
      </c>
      <c r="C37" s="15"/>
      <c r="D37" s="15"/>
      <c r="E37" s="57"/>
      <c r="F37" s="90"/>
    </row>
    <row r="38" spans="1:14" s="37" customFormat="1" ht="22.5" customHeight="1">
      <c r="A38" s="47" t="s">
        <v>1</v>
      </c>
      <c r="B38" s="48" t="s">
        <v>22</v>
      </c>
      <c r="C38" s="17">
        <f>C39</f>
        <v>8070220444</v>
      </c>
      <c r="D38" s="17">
        <f>D39</f>
        <v>8047103121</v>
      </c>
      <c r="E38" s="58">
        <f>D38/C38</f>
        <v>0.997135478124741</v>
      </c>
      <c r="F38" s="93">
        <f>G38/D38</f>
        <v>1.0029590622416482</v>
      </c>
      <c r="G38" s="86">
        <v>8070915000</v>
      </c>
      <c r="H38" s="67">
        <v>2857237191</v>
      </c>
      <c r="I38" s="67">
        <f>H38-D38</f>
        <v>-5189865930</v>
      </c>
      <c r="J38" s="67"/>
      <c r="K38" s="67"/>
      <c r="L38" s="67"/>
      <c r="M38" s="67"/>
      <c r="N38" s="67"/>
    </row>
    <row r="39" spans="1:14" s="37" customFormat="1" ht="36" customHeight="1">
      <c r="A39" s="47">
        <v>1</v>
      </c>
      <c r="B39" s="48" t="s">
        <v>7</v>
      </c>
      <c r="C39" s="17">
        <f>C40+C63+C133</f>
        <v>8070220444</v>
      </c>
      <c r="D39" s="17">
        <f>D40+D63+D133</f>
        <v>8047103121</v>
      </c>
      <c r="E39" s="58">
        <f>D39/C39</f>
        <v>0.997135478124741</v>
      </c>
      <c r="F39" s="93">
        <f>G39/D39</f>
        <v>0.8626772177038192</v>
      </c>
      <c r="G39" s="86">
        <f>G40+G63+G133</f>
        <v>6942052531</v>
      </c>
      <c r="H39" s="67"/>
      <c r="I39" s="67"/>
      <c r="J39" s="67"/>
      <c r="K39" s="67"/>
      <c r="L39" s="67"/>
      <c r="M39" s="67"/>
      <c r="N39" s="67"/>
    </row>
    <row r="40" spans="1:14" s="39" customFormat="1" ht="22.5" customHeight="1">
      <c r="A40" s="128">
        <v>1.1</v>
      </c>
      <c r="B40" s="129" t="s">
        <v>20</v>
      </c>
      <c r="C40" s="130">
        <f>C41+C44+C46+C51+C53+C56+C61+C79+C83+C87+C93+C97+C103+C107+C114+C119+C128</f>
        <v>6047215196</v>
      </c>
      <c r="D40" s="130">
        <f>D41+D44+D46+D51+D53+D56+D61+D79+D83+D87+D93+D97+D103+D107+D114+D119+D128</f>
        <v>6047791965</v>
      </c>
      <c r="E40" s="131">
        <f>D40/C40</f>
        <v>1.0000953776211539</v>
      </c>
      <c r="F40" s="132">
        <f>G40/D40</f>
        <v>0.9805684511504191</v>
      </c>
      <c r="G40" s="86">
        <v>5930274000</v>
      </c>
      <c r="H40" s="68">
        <f>G40-C40</f>
        <v>-116941196</v>
      </c>
      <c r="I40" s="68"/>
      <c r="J40" s="68"/>
      <c r="K40" s="68"/>
      <c r="L40" s="68"/>
      <c r="M40" s="68"/>
      <c r="N40" s="68"/>
    </row>
    <row r="41" spans="1:14" s="37" customFormat="1" ht="22.5" customHeight="1">
      <c r="A41" s="18">
        <v>6000</v>
      </c>
      <c r="B41" s="18" t="s">
        <v>35</v>
      </c>
      <c r="C41" s="19">
        <f>SUM(C42:C43)</f>
        <v>2374310400</v>
      </c>
      <c r="D41" s="19">
        <f>SUM(D42:D43)</f>
        <v>2511056229</v>
      </c>
      <c r="E41" s="58">
        <f>D41/C41</f>
        <v>1.057593914005515</v>
      </c>
      <c r="F41" s="91">
        <f>G41/D41</f>
        <v>0.9396605610618527</v>
      </c>
      <c r="G41" s="85">
        <f>3166373605-806833100</f>
        <v>2359540505</v>
      </c>
      <c r="H41" s="67"/>
      <c r="I41" s="67"/>
      <c r="J41" s="67"/>
      <c r="K41" s="67"/>
      <c r="L41" s="67"/>
      <c r="M41" s="67"/>
      <c r="N41" s="67"/>
    </row>
    <row r="42" spans="1:14" s="37" customFormat="1" ht="22.5" customHeight="1">
      <c r="A42" s="11">
        <v>6001</v>
      </c>
      <c r="B42" s="11" t="s">
        <v>30</v>
      </c>
      <c r="C42" s="20">
        <f>2235499200+138811200</f>
        <v>2374310400</v>
      </c>
      <c r="D42" s="71">
        <v>2511056229</v>
      </c>
      <c r="E42" s="60">
        <f>(D42/C42)</f>
        <v>1.057593914005515</v>
      </c>
      <c r="F42" s="92"/>
      <c r="G42" s="85"/>
      <c r="H42" s="67"/>
      <c r="I42" s="67"/>
      <c r="J42" s="67"/>
      <c r="K42" s="67"/>
      <c r="L42" s="67"/>
      <c r="M42" s="67"/>
      <c r="N42" s="67"/>
    </row>
    <row r="43" spans="1:14" s="37" customFormat="1" ht="0.75" customHeight="1" hidden="1">
      <c r="A43" s="11">
        <v>6003</v>
      </c>
      <c r="B43" s="11" t="s">
        <v>31</v>
      </c>
      <c r="C43" s="20"/>
      <c r="D43" s="71"/>
      <c r="E43" s="60"/>
      <c r="F43" s="92"/>
      <c r="G43" s="85"/>
      <c r="H43" s="67"/>
      <c r="I43" s="67"/>
      <c r="J43" s="67"/>
      <c r="K43" s="67"/>
      <c r="L43" s="67"/>
      <c r="M43" s="67"/>
      <c r="N43" s="67"/>
    </row>
    <row r="44" spans="1:14" s="39" customFormat="1" ht="33.75" customHeight="1">
      <c r="A44" s="21">
        <v>6050</v>
      </c>
      <c r="B44" s="24" t="s">
        <v>138</v>
      </c>
      <c r="C44" s="75">
        <f>C45</f>
        <v>365052000</v>
      </c>
      <c r="D44" s="75">
        <f>D45</f>
        <v>417692326</v>
      </c>
      <c r="E44" s="107">
        <f>E45</f>
        <v>1.144199527738514</v>
      </c>
      <c r="F44" s="91"/>
      <c r="G44" s="87"/>
      <c r="H44" s="68"/>
      <c r="I44" s="68"/>
      <c r="J44" s="68"/>
      <c r="K44" s="68"/>
      <c r="L44" s="68"/>
      <c r="M44" s="68"/>
      <c r="N44" s="68"/>
    </row>
    <row r="45" spans="1:14" s="37" customFormat="1" ht="35.25" customHeight="1">
      <c r="A45" s="11">
        <v>6051</v>
      </c>
      <c r="B45" s="29" t="s">
        <v>138</v>
      </c>
      <c r="C45" s="20">
        <v>365052000</v>
      </c>
      <c r="D45" s="71">
        <v>417692326</v>
      </c>
      <c r="E45" s="60">
        <f>(D45/C45)</f>
        <v>1.144199527738514</v>
      </c>
      <c r="F45" s="92"/>
      <c r="G45" s="85">
        <v>806833100</v>
      </c>
      <c r="H45" s="67"/>
      <c r="I45" s="67"/>
      <c r="J45" s="67"/>
      <c r="K45" s="67"/>
      <c r="L45" s="67"/>
      <c r="M45" s="67"/>
      <c r="N45" s="67"/>
    </row>
    <row r="46" spans="1:14" s="37" customFormat="1" ht="22.5" customHeight="1">
      <c r="A46" s="18">
        <v>6100</v>
      </c>
      <c r="B46" s="18" t="s">
        <v>36</v>
      </c>
      <c r="C46" s="19">
        <f>SUM(C47:C50)+1</f>
        <v>1346005509</v>
      </c>
      <c r="D46" s="38">
        <f>SUM(D47:D50)</f>
        <v>1357302265</v>
      </c>
      <c r="E46" s="104">
        <f>SUM(E47:E50)</f>
        <v>3.8579026699800774</v>
      </c>
      <c r="F46" s="91">
        <f>G46/D46</f>
        <v>1.4425231368784315</v>
      </c>
      <c r="G46" s="85">
        <v>1957939921</v>
      </c>
      <c r="H46" s="67"/>
      <c r="I46" s="67"/>
      <c r="J46" s="67"/>
      <c r="K46" s="67"/>
      <c r="L46" s="67"/>
      <c r="M46" s="67"/>
      <c r="N46" s="67"/>
    </row>
    <row r="47" spans="1:14" s="37" customFormat="1" ht="22.5" customHeight="1">
      <c r="A47" s="11">
        <v>6101</v>
      </c>
      <c r="B47" s="11" t="s">
        <v>32</v>
      </c>
      <c r="C47" s="20">
        <v>47190000</v>
      </c>
      <c r="D47" s="71">
        <v>37764702</v>
      </c>
      <c r="E47" s="60">
        <f>(D47/C47)</f>
        <v>0.8002691671964399</v>
      </c>
      <c r="F47" s="92"/>
      <c r="G47" s="85"/>
      <c r="H47" s="67"/>
      <c r="I47" s="67"/>
      <c r="J47" s="67"/>
      <c r="K47" s="67"/>
      <c r="L47" s="67"/>
      <c r="M47" s="67"/>
      <c r="N47" s="67"/>
    </row>
    <row r="48" spans="1:14" s="37" customFormat="1" ht="22.5" customHeight="1">
      <c r="A48" s="11">
        <v>6112</v>
      </c>
      <c r="B48" s="11" t="s">
        <v>33</v>
      </c>
      <c r="C48" s="20">
        <f>814246243+20045803</f>
        <v>834292046</v>
      </c>
      <c r="D48" s="71">
        <v>841032510</v>
      </c>
      <c r="E48" s="60">
        <f>(D48/C48)</f>
        <v>1.0080792619710532</v>
      </c>
      <c r="F48" s="92"/>
      <c r="G48" s="85"/>
      <c r="H48" s="67"/>
      <c r="I48" s="67"/>
      <c r="J48" s="67"/>
      <c r="K48" s="67"/>
      <c r="L48" s="67"/>
      <c r="M48" s="67"/>
      <c r="N48" s="67"/>
    </row>
    <row r="49" spans="1:14" s="37" customFormat="1" ht="22.5" customHeight="1">
      <c r="A49" s="11">
        <v>6113</v>
      </c>
      <c r="B49" s="11" t="s">
        <v>34</v>
      </c>
      <c r="C49" s="20">
        <v>7260000</v>
      </c>
      <c r="D49" s="71">
        <v>7400000</v>
      </c>
      <c r="E49" s="60">
        <f>(D49/C49)</f>
        <v>1.019283746556474</v>
      </c>
      <c r="F49" s="92"/>
      <c r="G49" s="85"/>
      <c r="H49" s="67"/>
      <c r="I49" s="67"/>
      <c r="J49" s="67"/>
      <c r="K49" s="67"/>
      <c r="L49" s="67"/>
      <c r="M49" s="67"/>
      <c r="N49" s="67"/>
    </row>
    <row r="50" spans="1:14" s="37" customFormat="1" ht="22.5" customHeight="1">
      <c r="A50" s="11">
        <v>6115</v>
      </c>
      <c r="B50" s="11" t="s">
        <v>95</v>
      </c>
      <c r="C50" s="20">
        <f>439534542+17728920</f>
        <v>457263462</v>
      </c>
      <c r="D50" s="71">
        <v>471105053</v>
      </c>
      <c r="E50" s="60">
        <f>(D50/C50)</f>
        <v>1.03027049425611</v>
      </c>
      <c r="F50" s="92"/>
      <c r="G50" s="85"/>
      <c r="H50" s="67"/>
      <c r="I50" s="67"/>
      <c r="J50" s="67"/>
      <c r="K50" s="67"/>
      <c r="L50" s="67"/>
      <c r="M50" s="67"/>
      <c r="N50" s="67"/>
    </row>
    <row r="51" spans="1:14" s="52" customFormat="1" ht="22.5" customHeight="1">
      <c r="A51" s="18">
        <v>6200</v>
      </c>
      <c r="B51" s="18" t="s">
        <v>176</v>
      </c>
      <c r="C51" s="19">
        <f>C52</f>
        <v>64050000</v>
      </c>
      <c r="D51" s="19">
        <f>D52</f>
        <v>32035000</v>
      </c>
      <c r="E51" s="59"/>
      <c r="F51" s="91"/>
      <c r="G51" s="88"/>
      <c r="H51" s="69"/>
      <c r="I51" s="69"/>
      <c r="J51" s="69"/>
      <c r="K51" s="69"/>
      <c r="L51" s="69"/>
      <c r="M51" s="69"/>
      <c r="N51" s="69"/>
    </row>
    <row r="52" spans="1:14" s="37" customFormat="1" ht="22.5" customHeight="1">
      <c r="A52" s="11">
        <v>6201</v>
      </c>
      <c r="B52" s="11" t="s">
        <v>177</v>
      </c>
      <c r="C52" s="20">
        <v>64050000</v>
      </c>
      <c r="D52" s="71">
        <v>32035000</v>
      </c>
      <c r="E52" s="60"/>
      <c r="F52" s="92"/>
      <c r="G52" s="85"/>
      <c r="H52" s="67"/>
      <c r="I52" s="67"/>
      <c r="J52" s="67"/>
      <c r="K52" s="67"/>
      <c r="L52" s="67"/>
      <c r="M52" s="67"/>
      <c r="N52" s="67"/>
    </row>
    <row r="53" spans="1:14" s="37" customFormat="1" ht="22.5" customHeight="1">
      <c r="A53" s="18">
        <v>6250</v>
      </c>
      <c r="B53" s="18" t="s">
        <v>37</v>
      </c>
      <c r="C53" s="19">
        <f>SUM(C54:C55)</f>
        <v>7350000</v>
      </c>
      <c r="D53" s="38">
        <f>SUM(D54:D55)</f>
        <v>2696000</v>
      </c>
      <c r="E53" s="104">
        <f>SUM(E54:E55)</f>
        <v>0.7324819168173599</v>
      </c>
      <c r="F53" s="91">
        <v>0.12</v>
      </c>
      <c r="G53" s="85">
        <v>4452000</v>
      </c>
      <c r="H53" s="67"/>
      <c r="I53" s="67"/>
      <c r="J53" s="67"/>
      <c r="K53" s="67"/>
      <c r="L53" s="67"/>
      <c r="M53" s="67"/>
      <c r="N53" s="67"/>
    </row>
    <row r="54" spans="1:14" s="37" customFormat="1" ht="22.5" customHeight="1">
      <c r="A54" s="11">
        <v>6253</v>
      </c>
      <c r="B54" s="11" t="s">
        <v>38</v>
      </c>
      <c r="C54" s="20">
        <v>3318000</v>
      </c>
      <c r="D54" s="72">
        <v>1196000</v>
      </c>
      <c r="E54" s="60">
        <f>(D54/C54)</f>
        <v>0.3604581072935503</v>
      </c>
      <c r="F54" s="90"/>
      <c r="G54" s="85"/>
      <c r="H54" s="67"/>
      <c r="I54" s="67"/>
      <c r="J54" s="67"/>
      <c r="K54" s="67"/>
      <c r="L54" s="67"/>
      <c r="M54" s="67"/>
      <c r="N54" s="67"/>
    </row>
    <row r="55" spans="1:14" s="37" customFormat="1" ht="22.5" customHeight="1">
      <c r="A55" s="11">
        <v>6299</v>
      </c>
      <c r="B55" s="11" t="s">
        <v>39</v>
      </c>
      <c r="C55" s="20">
        <v>4032000</v>
      </c>
      <c r="D55" s="72">
        <v>1500000</v>
      </c>
      <c r="E55" s="60">
        <f>(D55/C55)</f>
        <v>0.37202380952380953</v>
      </c>
      <c r="F55" s="90"/>
      <c r="G55" s="85"/>
      <c r="H55" s="67"/>
      <c r="I55" s="67"/>
      <c r="J55" s="67"/>
      <c r="K55" s="67"/>
      <c r="L55" s="67"/>
      <c r="M55" s="67"/>
      <c r="N55" s="67"/>
    </row>
    <row r="56" spans="1:14" s="37" customFormat="1" ht="22.5" customHeight="1">
      <c r="A56" s="18">
        <v>6300</v>
      </c>
      <c r="B56" s="18" t="s">
        <v>40</v>
      </c>
      <c r="C56" s="19">
        <f>SUM(C57:C60)</f>
        <v>762260767</v>
      </c>
      <c r="D56" s="38">
        <f>SUM(D57:D60)</f>
        <v>669417145</v>
      </c>
      <c r="E56" s="104">
        <f>SUM(E57:E60)</f>
        <v>3.6372136816233587</v>
      </c>
      <c r="F56" s="91">
        <f>G56/D56</f>
        <v>1.3180079261340103</v>
      </c>
      <c r="G56" s="85">
        <v>882297103</v>
      </c>
      <c r="H56" s="67"/>
      <c r="I56" s="67"/>
      <c r="J56" s="67"/>
      <c r="K56" s="67"/>
      <c r="L56" s="67"/>
      <c r="M56" s="67"/>
      <c r="N56" s="67"/>
    </row>
    <row r="57" spans="1:14" s="37" customFormat="1" ht="22.5" customHeight="1">
      <c r="A57" s="11">
        <v>6301</v>
      </c>
      <c r="B57" s="11" t="s">
        <v>41</v>
      </c>
      <c r="C57" s="20">
        <f>540272950+27394216</f>
        <v>567667166</v>
      </c>
      <c r="D57" s="72">
        <v>488791609</v>
      </c>
      <c r="E57" s="60">
        <f>(D57/C57)</f>
        <v>0.8610531633249333</v>
      </c>
      <c r="F57" s="92"/>
      <c r="G57" s="85"/>
      <c r="H57" s="67"/>
      <c r="I57" s="67"/>
      <c r="J57" s="67"/>
      <c r="K57" s="67"/>
      <c r="L57" s="67"/>
      <c r="M57" s="67"/>
      <c r="N57" s="67"/>
    </row>
    <row r="58" spans="1:14" s="37" customFormat="1" ht="22.5" customHeight="1">
      <c r="A58" s="11">
        <v>6302</v>
      </c>
      <c r="B58" s="11" t="s">
        <v>42</v>
      </c>
      <c r="C58" s="20">
        <f>92618272+4696204</f>
        <v>97314476</v>
      </c>
      <c r="D58" s="72">
        <v>90604315</v>
      </c>
      <c r="E58" s="60">
        <f>(D58/C58)</f>
        <v>0.9310466307191543</v>
      </c>
      <c r="F58" s="92"/>
      <c r="G58" s="85"/>
      <c r="H58" s="67"/>
      <c r="I58" s="67"/>
      <c r="J58" s="67"/>
      <c r="K58" s="67"/>
      <c r="L58" s="67"/>
      <c r="M58" s="67"/>
      <c r="N58" s="67"/>
    </row>
    <row r="59" spans="1:14" s="37" customFormat="1" ht="22.5" customHeight="1">
      <c r="A59" s="11">
        <v>6303</v>
      </c>
      <c r="B59" s="11" t="s">
        <v>43</v>
      </c>
      <c r="C59" s="20">
        <f>61745515+3130802</f>
        <v>64876317</v>
      </c>
      <c r="D59" s="72">
        <v>60402874</v>
      </c>
      <c r="E59" s="60">
        <f>(D59/C59)</f>
        <v>0.9310465943990008</v>
      </c>
      <c r="F59" s="92"/>
      <c r="G59" s="85"/>
      <c r="H59" s="67"/>
      <c r="I59" s="67"/>
      <c r="J59" s="67"/>
      <c r="K59" s="67"/>
      <c r="L59" s="67"/>
      <c r="M59" s="67"/>
      <c r="N59" s="67"/>
    </row>
    <row r="60" spans="1:14" s="37" customFormat="1" ht="22.5" customHeight="1">
      <c r="A60" s="11">
        <v>6304</v>
      </c>
      <c r="B60" s="11" t="s">
        <v>44</v>
      </c>
      <c r="C60" s="20">
        <f>30872757+1530051</f>
        <v>32402808</v>
      </c>
      <c r="D60" s="72">
        <v>29618347</v>
      </c>
      <c r="E60" s="60">
        <f>(D60/C60)</f>
        <v>0.91406729318027</v>
      </c>
      <c r="F60" s="92"/>
      <c r="G60" s="85"/>
      <c r="H60" s="67"/>
      <c r="I60" s="67"/>
      <c r="J60" s="67"/>
      <c r="K60" s="67"/>
      <c r="L60" s="67"/>
      <c r="M60" s="67"/>
      <c r="N60" s="67"/>
    </row>
    <row r="61" spans="1:14" s="37" customFormat="1" ht="22.5" customHeight="1">
      <c r="A61" s="77">
        <v>6400</v>
      </c>
      <c r="B61" s="78" t="s">
        <v>79</v>
      </c>
      <c r="C61" s="22">
        <f>C62</f>
        <v>107262520</v>
      </c>
      <c r="D61" s="73">
        <f>D62</f>
        <v>299359973</v>
      </c>
      <c r="E61" s="106">
        <f>E62</f>
        <v>0</v>
      </c>
      <c r="F61" s="91">
        <f>G61/D61</f>
        <v>0.9267856795270355</v>
      </c>
      <c r="G61" s="85">
        <v>277442536</v>
      </c>
      <c r="H61" s="67"/>
      <c r="I61" s="67"/>
      <c r="J61" s="67"/>
      <c r="K61" s="67"/>
      <c r="L61" s="67"/>
      <c r="M61" s="67"/>
      <c r="N61" s="67"/>
    </row>
    <row r="62" spans="1:14" s="37" customFormat="1" ht="22.5" customHeight="1">
      <c r="A62" s="79">
        <v>6404</v>
      </c>
      <c r="B62" s="70" t="s">
        <v>134</v>
      </c>
      <c r="C62" s="20">
        <v>107262520</v>
      </c>
      <c r="D62" s="72">
        <v>299359973</v>
      </c>
      <c r="E62" s="20"/>
      <c r="F62" s="92"/>
      <c r="G62" s="85"/>
      <c r="H62" s="67"/>
      <c r="I62" s="67"/>
      <c r="J62" s="67"/>
      <c r="K62" s="67"/>
      <c r="L62" s="67"/>
      <c r="M62" s="67"/>
      <c r="N62" s="67"/>
    </row>
    <row r="63" spans="1:14" s="37" customFormat="1" ht="22.5" customHeight="1">
      <c r="A63" s="133">
        <v>1.2</v>
      </c>
      <c r="B63" s="134" t="s">
        <v>115</v>
      </c>
      <c r="C63" s="135">
        <f>C64+C67+C72+C77</f>
        <v>1010583248</v>
      </c>
      <c r="D63" s="136">
        <f>D64+D67+D72+D77</f>
        <v>994442437</v>
      </c>
      <c r="E63" s="137">
        <f>E64+E67+E72+E77</f>
        <v>8.048141513615356</v>
      </c>
      <c r="F63" s="132"/>
      <c r="G63" s="85"/>
      <c r="H63" s="67"/>
      <c r="I63" s="67"/>
      <c r="J63" s="67"/>
      <c r="K63" s="67"/>
      <c r="L63" s="67"/>
      <c r="M63" s="67"/>
      <c r="N63" s="67"/>
    </row>
    <row r="64" spans="1:14" s="37" customFormat="1" ht="22.5" customHeight="1">
      <c r="A64" s="18">
        <v>6000</v>
      </c>
      <c r="B64" s="18" t="s">
        <v>35</v>
      </c>
      <c r="C64" s="19">
        <f>SUM(C65:C66)</f>
        <v>597441600</v>
      </c>
      <c r="D64" s="38">
        <f>SUM(D65:D66)</f>
        <v>522911115</v>
      </c>
      <c r="E64" s="59"/>
      <c r="F64" s="91"/>
      <c r="G64" s="85"/>
      <c r="H64" s="67"/>
      <c r="I64" s="67"/>
      <c r="J64" s="67"/>
      <c r="K64" s="67"/>
      <c r="L64" s="67"/>
      <c r="M64" s="67"/>
      <c r="N64" s="67"/>
    </row>
    <row r="65" spans="1:14" s="37" customFormat="1" ht="22.5" customHeight="1">
      <c r="A65" s="11">
        <v>6001</v>
      </c>
      <c r="B65" s="11" t="s">
        <v>30</v>
      </c>
      <c r="C65" s="20">
        <f>435489600+166320000-4368000</f>
        <v>597441600</v>
      </c>
      <c r="D65" s="71">
        <v>522911115</v>
      </c>
      <c r="E65" s="60">
        <f>(D65/C65)</f>
        <v>0.8752505935308154</v>
      </c>
      <c r="F65" s="92"/>
      <c r="G65" s="85"/>
      <c r="H65" s="67"/>
      <c r="I65" s="67"/>
      <c r="J65" s="67"/>
      <c r="K65" s="67"/>
      <c r="L65" s="67"/>
      <c r="M65" s="67"/>
      <c r="N65" s="67"/>
    </row>
    <row r="66" spans="1:14" s="37" customFormat="1" ht="22.5" customHeight="1" hidden="1">
      <c r="A66" s="11">
        <v>6003</v>
      </c>
      <c r="B66" s="11" t="s">
        <v>31</v>
      </c>
      <c r="C66" s="20"/>
      <c r="D66" s="71"/>
      <c r="E66" s="60"/>
      <c r="F66" s="92"/>
      <c r="G66" s="85"/>
      <c r="H66" s="67"/>
      <c r="I66" s="67"/>
      <c r="J66" s="67"/>
      <c r="K66" s="67"/>
      <c r="L66" s="67"/>
      <c r="M66" s="67"/>
      <c r="N66" s="67"/>
    </row>
    <row r="67" spans="1:14" s="37" customFormat="1" ht="22.5" customHeight="1">
      <c r="A67" s="18">
        <v>6100</v>
      </c>
      <c r="B67" s="18" t="s">
        <v>36</v>
      </c>
      <c r="C67" s="19">
        <f>SUM(C68:C71)</f>
        <v>231692077</v>
      </c>
      <c r="D67" s="38">
        <f>SUM(D68:D71)</f>
        <v>280954013</v>
      </c>
      <c r="E67" s="104">
        <f>SUM(E68:E71)</f>
        <v>4.141673168892611</v>
      </c>
      <c r="F67" s="91"/>
      <c r="G67" s="85"/>
      <c r="H67" s="67"/>
      <c r="I67" s="67"/>
      <c r="J67" s="67"/>
      <c r="K67" s="67"/>
      <c r="L67" s="67"/>
      <c r="M67" s="67"/>
      <c r="N67" s="67"/>
    </row>
    <row r="68" spans="1:14" s="37" customFormat="1" ht="22.5" customHeight="1">
      <c r="A68" s="11">
        <v>6101</v>
      </c>
      <c r="B68" s="11" t="s">
        <v>32</v>
      </c>
      <c r="C68" s="20">
        <v>10920000</v>
      </c>
      <c r="D68" s="71">
        <v>7635600</v>
      </c>
      <c r="E68" s="60">
        <f>(D68/C68)</f>
        <v>0.6992307692307692</v>
      </c>
      <c r="F68" s="92"/>
      <c r="G68" s="85"/>
      <c r="H68" s="67"/>
      <c r="I68" s="67"/>
      <c r="J68" s="67"/>
      <c r="K68" s="67"/>
      <c r="L68" s="67"/>
      <c r="M68" s="67"/>
      <c r="N68" s="67"/>
    </row>
    <row r="69" spans="1:14" s="37" customFormat="1" ht="22.5" customHeight="1">
      <c r="A69" s="11">
        <v>6112</v>
      </c>
      <c r="B69" s="11" t="s">
        <v>33</v>
      </c>
      <c r="C69" s="20">
        <f>196109760-50840160</f>
        <v>145269600</v>
      </c>
      <c r="D69" s="71">
        <v>173475340</v>
      </c>
      <c r="E69" s="60">
        <f>(D69/C69)</f>
        <v>1.1941613386420835</v>
      </c>
      <c r="F69" s="92"/>
      <c r="G69" s="85"/>
      <c r="H69" s="67"/>
      <c r="I69" s="67"/>
      <c r="J69" s="67"/>
      <c r="K69" s="67"/>
      <c r="L69" s="67"/>
      <c r="M69" s="67"/>
      <c r="N69" s="67"/>
    </row>
    <row r="70" spans="1:14" s="37" customFormat="1" ht="22.5" customHeight="1">
      <c r="A70" s="11">
        <v>6113</v>
      </c>
      <c r="B70" s="11" t="s">
        <v>34</v>
      </c>
      <c r="C70" s="20">
        <f>1680000</f>
        <v>1680000</v>
      </c>
      <c r="D70" s="71">
        <v>1540000</v>
      </c>
      <c r="E70" s="60">
        <f>(D70/C70)</f>
        <v>0.9166666666666666</v>
      </c>
      <c r="F70" s="92"/>
      <c r="G70" s="85"/>
      <c r="H70" s="67"/>
      <c r="I70" s="67"/>
      <c r="J70" s="67"/>
      <c r="K70" s="67"/>
      <c r="L70" s="67"/>
      <c r="M70" s="67"/>
      <c r="N70" s="67"/>
    </row>
    <row r="71" spans="1:14" s="37" customFormat="1" ht="22.5" customHeight="1">
      <c r="A71" s="11">
        <v>6115</v>
      </c>
      <c r="B71" s="11" t="s">
        <v>95</v>
      </c>
      <c r="C71" s="20">
        <f>101710475-27887998</f>
        <v>73822477</v>
      </c>
      <c r="D71" s="71">
        <v>98303073</v>
      </c>
      <c r="E71" s="60">
        <f>(D71/C71)</f>
        <v>1.3316143943530911</v>
      </c>
      <c r="F71" s="92"/>
      <c r="G71" s="85"/>
      <c r="H71" s="67"/>
      <c r="I71" s="67"/>
      <c r="J71" s="67"/>
      <c r="K71" s="67"/>
      <c r="L71" s="67"/>
      <c r="M71" s="67"/>
      <c r="N71" s="67"/>
    </row>
    <row r="72" spans="1:14" s="37" customFormat="1" ht="22.5" customHeight="1">
      <c r="A72" s="18">
        <v>6300</v>
      </c>
      <c r="B72" s="18" t="s">
        <v>40</v>
      </c>
      <c r="C72" s="19">
        <f>SUM(C73:C76)</f>
        <v>164353518</v>
      </c>
      <c r="D72" s="38">
        <f>SUM(D73:D76)</f>
        <v>190577309</v>
      </c>
      <c r="E72" s="104">
        <f>SUM(E73:E76)</f>
        <v>3.906468344722744</v>
      </c>
      <c r="F72" s="91"/>
      <c r="G72" s="85"/>
      <c r="H72" s="67"/>
      <c r="I72" s="67"/>
      <c r="J72" s="67"/>
      <c r="K72" s="67"/>
      <c r="L72" s="67"/>
      <c r="M72" s="67"/>
      <c r="N72" s="67"/>
    </row>
    <row r="73" spans="1:14" s="37" customFormat="1" ht="22.5" customHeight="1">
      <c r="A73" s="11">
        <v>6301</v>
      </c>
      <c r="B73" s="11" t="s">
        <v>41</v>
      </c>
      <c r="C73" s="20">
        <f>125026708-1486329-1529105</f>
        <v>122011274</v>
      </c>
      <c r="D73" s="72">
        <v>152991086</v>
      </c>
      <c r="E73" s="60">
        <f>(D73/C73)</f>
        <v>1.2539094215178836</v>
      </c>
      <c r="F73" s="92"/>
      <c r="G73" s="85"/>
      <c r="H73" s="67"/>
      <c r="I73" s="67"/>
      <c r="J73" s="67"/>
      <c r="K73" s="67"/>
      <c r="L73" s="67"/>
      <c r="M73" s="67"/>
      <c r="N73" s="67"/>
    </row>
    <row r="74" spans="1:14" s="37" customFormat="1" ht="22.5" customHeight="1">
      <c r="A74" s="11">
        <v>6302</v>
      </c>
      <c r="B74" s="11" t="s">
        <v>42</v>
      </c>
      <c r="C74" s="20">
        <f>21433202-262080</f>
        <v>21171122</v>
      </c>
      <c r="D74" s="72">
        <v>18867007</v>
      </c>
      <c r="E74" s="60">
        <f>(D74/C74)</f>
        <v>0.8911670812723105</v>
      </c>
      <c r="F74" s="92"/>
      <c r="G74" s="85"/>
      <c r="H74" s="67"/>
      <c r="I74" s="67"/>
      <c r="J74" s="67"/>
      <c r="K74" s="67"/>
      <c r="L74" s="67"/>
      <c r="M74" s="67"/>
      <c r="N74" s="67"/>
    </row>
    <row r="75" spans="1:14" s="37" customFormat="1" ht="22.5" customHeight="1">
      <c r="A75" s="11">
        <v>6303</v>
      </c>
      <c r="B75" s="11" t="s">
        <v>43</v>
      </c>
      <c r="C75" s="20">
        <f>14288801-174720</f>
        <v>14114081</v>
      </c>
      <c r="D75" s="72">
        <v>12578004</v>
      </c>
      <c r="E75" s="60">
        <f>(D75/C75)</f>
        <v>0.8911670550849183</v>
      </c>
      <c r="F75" s="92"/>
      <c r="G75" s="85"/>
      <c r="H75" s="67"/>
      <c r="I75" s="67"/>
      <c r="J75" s="67"/>
      <c r="K75" s="67"/>
      <c r="L75" s="67"/>
      <c r="M75" s="67"/>
      <c r="N75" s="67"/>
    </row>
    <row r="76" spans="1:14" s="37" customFormat="1" ht="22.5" customHeight="1">
      <c r="A76" s="11">
        <v>6304</v>
      </c>
      <c r="B76" s="11" t="s">
        <v>44</v>
      </c>
      <c r="C76" s="20">
        <f>7144401-87360</f>
        <v>7057041</v>
      </c>
      <c r="D76" s="72">
        <v>6141212</v>
      </c>
      <c r="E76" s="60">
        <f>(D76/C76)</f>
        <v>0.870224786847632</v>
      </c>
      <c r="F76" s="92"/>
      <c r="G76" s="85"/>
      <c r="H76" s="67"/>
      <c r="I76" s="67"/>
      <c r="J76" s="67"/>
      <c r="K76" s="67"/>
      <c r="L76" s="67"/>
      <c r="M76" s="67"/>
      <c r="N76" s="67"/>
    </row>
    <row r="77" spans="1:14" s="52" customFormat="1" ht="22.5" customHeight="1">
      <c r="A77" s="18">
        <v>7750</v>
      </c>
      <c r="B77" s="18" t="s">
        <v>129</v>
      </c>
      <c r="C77" s="19">
        <f>C78</f>
        <v>17096053</v>
      </c>
      <c r="D77" s="19">
        <f>D78</f>
        <v>0</v>
      </c>
      <c r="E77" s="59"/>
      <c r="F77" s="91"/>
      <c r="G77" s="88"/>
      <c r="H77" s="69"/>
      <c r="I77" s="69"/>
      <c r="J77" s="69"/>
      <c r="K77" s="69"/>
      <c r="L77" s="69"/>
      <c r="M77" s="69"/>
      <c r="N77" s="69"/>
    </row>
    <row r="78" spans="1:14" s="37" customFormat="1" ht="22.5" customHeight="1">
      <c r="A78" s="11">
        <v>7799</v>
      </c>
      <c r="B78" s="11" t="s">
        <v>130</v>
      </c>
      <c r="C78" s="20">
        <v>17096053</v>
      </c>
      <c r="D78" s="72"/>
      <c r="E78" s="60"/>
      <c r="F78" s="92"/>
      <c r="G78" s="85"/>
      <c r="H78" s="67"/>
      <c r="I78" s="67"/>
      <c r="J78" s="67"/>
      <c r="K78" s="67"/>
      <c r="L78" s="67"/>
      <c r="M78" s="67"/>
      <c r="N78" s="67"/>
    </row>
    <row r="79" spans="1:14" s="37" customFormat="1" ht="22.5" customHeight="1">
      <c r="A79" s="18">
        <v>6500</v>
      </c>
      <c r="B79" s="18" t="s">
        <v>45</v>
      </c>
      <c r="C79" s="26">
        <f>SUM(C80:C82)</f>
        <v>66800000</v>
      </c>
      <c r="D79" s="13">
        <f>SUM(D80:D82)</f>
        <v>55274159</v>
      </c>
      <c r="E79" s="102">
        <f>SUM(E80:E82)</f>
        <v>1.4891720688888888</v>
      </c>
      <c r="F79" s="91">
        <f>G79/D79</f>
        <v>1.0585188098474732</v>
      </c>
      <c r="G79" s="85">
        <v>58508737</v>
      </c>
      <c r="H79" s="67"/>
      <c r="I79" s="67"/>
      <c r="J79" s="67"/>
      <c r="K79" s="67"/>
      <c r="L79" s="67"/>
      <c r="M79" s="67"/>
      <c r="N79" s="67"/>
    </row>
    <row r="80" spans="1:14" s="37" customFormat="1" ht="22.5" customHeight="1">
      <c r="A80" s="11">
        <v>6501</v>
      </c>
      <c r="B80" s="11" t="s">
        <v>46</v>
      </c>
      <c r="C80" s="27">
        <v>50000000</v>
      </c>
      <c r="D80" s="72">
        <v>47514159</v>
      </c>
      <c r="E80" s="60">
        <f>(D80/C80)</f>
        <v>0.95028318</v>
      </c>
      <c r="F80" s="92"/>
      <c r="G80" s="85"/>
      <c r="H80" s="67"/>
      <c r="I80" s="67"/>
      <c r="J80" s="67"/>
      <c r="K80" s="67"/>
      <c r="L80" s="67"/>
      <c r="M80" s="67"/>
      <c r="N80" s="67"/>
    </row>
    <row r="81" spans="1:14" s="37" customFormat="1" ht="22.5" customHeight="1">
      <c r="A81" s="11">
        <v>6502</v>
      </c>
      <c r="B81" s="11" t="s">
        <v>47</v>
      </c>
      <c r="C81" s="27">
        <v>2400000</v>
      </c>
      <c r="D81" s="72"/>
      <c r="E81" s="60">
        <f>(D81/C81)</f>
        <v>0</v>
      </c>
      <c r="F81" s="92"/>
      <c r="G81" s="85"/>
      <c r="H81" s="67"/>
      <c r="I81" s="67"/>
      <c r="J81" s="67"/>
      <c r="K81" s="67"/>
      <c r="L81" s="67"/>
      <c r="M81" s="67"/>
      <c r="N81" s="67"/>
    </row>
    <row r="82" spans="1:14" s="37" customFormat="1" ht="22.5" customHeight="1">
      <c r="A82" s="11">
        <v>6504</v>
      </c>
      <c r="B82" s="11" t="s">
        <v>48</v>
      </c>
      <c r="C82" s="27">
        <v>14400000</v>
      </c>
      <c r="D82" s="72">
        <v>7760000</v>
      </c>
      <c r="E82" s="60">
        <f>(D82/C82)</f>
        <v>0.5388888888888889</v>
      </c>
      <c r="F82" s="92"/>
      <c r="G82" s="85"/>
      <c r="H82" s="67"/>
      <c r="I82" s="67"/>
      <c r="J82" s="67"/>
      <c r="K82" s="67"/>
      <c r="L82" s="67"/>
      <c r="M82" s="67"/>
      <c r="N82" s="67"/>
    </row>
    <row r="83" spans="1:14" s="37" customFormat="1" ht="22.5" customHeight="1">
      <c r="A83" s="18">
        <v>6550</v>
      </c>
      <c r="B83" s="18" t="s">
        <v>49</v>
      </c>
      <c r="C83" s="13">
        <f>SUM(C84:C86)</f>
        <v>104114000</v>
      </c>
      <c r="D83" s="13">
        <f>SUM(D84:D86)</f>
        <v>130984500</v>
      </c>
      <c r="E83" s="102">
        <f>SUM(E84:E86)</f>
        <v>2.735823759499013</v>
      </c>
      <c r="F83" s="91">
        <f>G83/D83</f>
        <v>0.8590711114673873</v>
      </c>
      <c r="G83" s="85">
        <v>112525000</v>
      </c>
      <c r="H83" s="67"/>
      <c r="I83" s="67"/>
      <c r="J83" s="67"/>
      <c r="K83" s="67"/>
      <c r="L83" s="67"/>
      <c r="M83" s="67"/>
      <c r="N83" s="67"/>
    </row>
    <row r="84" spans="1:14" s="37" customFormat="1" ht="22.5" customHeight="1">
      <c r="A84" s="11">
        <v>6551</v>
      </c>
      <c r="B84" s="11" t="s">
        <v>157</v>
      </c>
      <c r="C84" s="27">
        <f>34800000-3000000</f>
        <v>31800000</v>
      </c>
      <c r="D84" s="72">
        <v>33747000</v>
      </c>
      <c r="E84" s="60">
        <f>(D84/C84)</f>
        <v>1.0612264150943396</v>
      </c>
      <c r="F84" s="92"/>
      <c r="G84" s="85"/>
      <c r="H84" s="67"/>
      <c r="I84" s="67"/>
      <c r="J84" s="67"/>
      <c r="K84" s="67"/>
      <c r="L84" s="67"/>
      <c r="M84" s="67"/>
      <c r="N84" s="67"/>
    </row>
    <row r="85" spans="1:14" s="37" customFormat="1" ht="22.5" customHeight="1">
      <c r="A85" s="11">
        <v>6552</v>
      </c>
      <c r="B85" s="11" t="s">
        <v>51</v>
      </c>
      <c r="C85" s="27">
        <v>7800000</v>
      </c>
      <c r="D85" s="72">
        <v>1485000</v>
      </c>
      <c r="E85" s="60">
        <f>(D85/C85)</f>
        <v>0.19038461538461537</v>
      </c>
      <c r="F85" s="92"/>
      <c r="G85" s="85"/>
      <c r="H85" s="67"/>
      <c r="I85" s="67"/>
      <c r="J85" s="67"/>
      <c r="K85" s="67"/>
      <c r="L85" s="67"/>
      <c r="M85" s="67"/>
      <c r="N85" s="67"/>
    </row>
    <row r="86" spans="1:14" s="37" customFormat="1" ht="22.5" customHeight="1">
      <c r="A86" s="11">
        <v>6559</v>
      </c>
      <c r="B86" s="11" t="s">
        <v>52</v>
      </c>
      <c r="C86" s="27">
        <f>69050000-4536000</f>
        <v>64514000</v>
      </c>
      <c r="D86" s="72">
        <v>95752500</v>
      </c>
      <c r="E86" s="60">
        <f>(D86/C86)</f>
        <v>1.4842127290200577</v>
      </c>
      <c r="F86" s="94"/>
      <c r="G86" s="85"/>
      <c r="H86" s="67"/>
      <c r="I86" s="67"/>
      <c r="J86" s="67"/>
      <c r="K86" s="67"/>
      <c r="L86" s="67"/>
      <c r="M86" s="67"/>
      <c r="N86" s="67"/>
    </row>
    <row r="87" spans="1:14" s="37" customFormat="1" ht="22.5" customHeight="1">
      <c r="A87" s="18">
        <v>6600</v>
      </c>
      <c r="B87" s="18" t="s">
        <v>53</v>
      </c>
      <c r="C87" s="13">
        <f>SUM(C88:C92)</f>
        <v>42090000</v>
      </c>
      <c r="D87" s="13">
        <f>SUM(D88:D92)</f>
        <v>33173600</v>
      </c>
      <c r="E87" s="102">
        <f>SUM(E88:E91)</f>
        <v>1.412111111111111</v>
      </c>
      <c r="F87" s="91">
        <f>G87/D87</f>
        <v>0.27861799744375043</v>
      </c>
      <c r="G87" s="85">
        <v>9242762</v>
      </c>
      <c r="H87" s="67"/>
      <c r="I87" s="67"/>
      <c r="J87" s="67"/>
      <c r="K87" s="67"/>
      <c r="L87" s="67"/>
      <c r="M87" s="67"/>
      <c r="N87" s="67"/>
    </row>
    <row r="88" spans="1:14" s="37" customFormat="1" ht="22.5" customHeight="1">
      <c r="A88" s="11">
        <v>6601</v>
      </c>
      <c r="B88" s="11" t="s">
        <v>54</v>
      </c>
      <c r="C88" s="27">
        <v>3600000</v>
      </c>
      <c r="D88" s="72">
        <v>307600</v>
      </c>
      <c r="E88" s="60">
        <f>(D88/C88)</f>
        <v>0.08544444444444445</v>
      </c>
      <c r="F88" s="92"/>
      <c r="G88" s="85"/>
      <c r="H88" s="67"/>
      <c r="I88" s="67"/>
      <c r="J88" s="67"/>
      <c r="K88" s="67"/>
      <c r="L88" s="67"/>
      <c r="M88" s="67"/>
      <c r="N88" s="67"/>
    </row>
    <row r="89" spans="1:14" s="37" customFormat="1" ht="22.5" customHeight="1">
      <c r="A89" s="11">
        <v>6605</v>
      </c>
      <c r="B89" s="11" t="s">
        <v>56</v>
      </c>
      <c r="C89" s="27">
        <v>3600000</v>
      </c>
      <c r="D89" s="72">
        <v>2376000</v>
      </c>
      <c r="E89" s="60">
        <f>(D89/C89)</f>
        <v>0.66</v>
      </c>
      <c r="F89" s="92"/>
      <c r="G89" s="85"/>
      <c r="H89" s="67"/>
      <c r="I89" s="67"/>
      <c r="J89" s="67"/>
      <c r="K89" s="67"/>
      <c r="L89" s="67"/>
      <c r="M89" s="67"/>
      <c r="N89" s="67"/>
    </row>
    <row r="90" spans="1:14" s="37" customFormat="1" ht="22.5" customHeight="1">
      <c r="A90" s="11">
        <v>6608</v>
      </c>
      <c r="B90" s="11" t="s">
        <v>55</v>
      </c>
      <c r="C90" s="27">
        <v>1400000</v>
      </c>
      <c r="D90" s="72"/>
      <c r="E90" s="60">
        <f>(D90/C90)</f>
        <v>0</v>
      </c>
      <c r="F90" s="92"/>
      <c r="G90" s="85"/>
      <c r="H90" s="67"/>
      <c r="I90" s="67"/>
      <c r="J90" s="67"/>
      <c r="K90" s="67"/>
      <c r="L90" s="67"/>
      <c r="M90" s="67"/>
      <c r="N90" s="67"/>
    </row>
    <row r="91" spans="1:14" s="37" customFormat="1" ht="22.5" customHeight="1">
      <c r="A91" s="11">
        <v>6618</v>
      </c>
      <c r="B91" s="11" t="s">
        <v>91</v>
      </c>
      <c r="C91" s="27">
        <v>9000000</v>
      </c>
      <c r="D91" s="72">
        <v>6000000</v>
      </c>
      <c r="E91" s="60">
        <f>(D91/C91)</f>
        <v>0.6666666666666666</v>
      </c>
      <c r="F91" s="92"/>
      <c r="G91" s="85"/>
      <c r="H91" s="67"/>
      <c r="I91" s="67"/>
      <c r="J91" s="67"/>
      <c r="K91" s="67"/>
      <c r="L91" s="67"/>
      <c r="M91" s="67"/>
      <c r="N91" s="67"/>
    </row>
    <row r="92" spans="1:14" s="37" customFormat="1" ht="22.5" customHeight="1">
      <c r="A92" s="11">
        <v>6649</v>
      </c>
      <c r="B92" s="11"/>
      <c r="C92" s="27">
        <v>24490000</v>
      </c>
      <c r="D92" s="72">
        <v>24490000</v>
      </c>
      <c r="E92" s="60">
        <f>(D92/C92)</f>
        <v>1</v>
      </c>
      <c r="F92" s="92"/>
      <c r="G92" s="85"/>
      <c r="H92" s="67"/>
      <c r="I92" s="67"/>
      <c r="J92" s="67"/>
      <c r="K92" s="67"/>
      <c r="L92" s="67"/>
      <c r="M92" s="67"/>
      <c r="N92" s="67"/>
    </row>
    <row r="93" spans="1:14" s="37" customFormat="1" ht="22.5" customHeight="1">
      <c r="A93" s="18">
        <v>6650</v>
      </c>
      <c r="B93" s="18" t="s">
        <v>57</v>
      </c>
      <c r="C93" s="13">
        <f>SUM(C94:C96)</f>
        <v>4440000</v>
      </c>
      <c r="D93" s="13">
        <f>SUM(D94:D96)</f>
        <v>1900000</v>
      </c>
      <c r="E93" s="59"/>
      <c r="F93" s="91"/>
      <c r="G93" s="85">
        <v>1962000</v>
      </c>
      <c r="H93" s="67"/>
      <c r="I93" s="67"/>
      <c r="J93" s="67"/>
      <c r="K93" s="67"/>
      <c r="L93" s="67"/>
      <c r="M93" s="67"/>
      <c r="N93" s="67"/>
    </row>
    <row r="94" spans="1:14" s="37" customFormat="1" ht="22.5" customHeight="1">
      <c r="A94" s="11">
        <v>6651</v>
      </c>
      <c r="B94" s="11" t="s">
        <v>116</v>
      </c>
      <c r="C94" s="27">
        <v>1200000</v>
      </c>
      <c r="D94" s="27">
        <v>350000</v>
      </c>
      <c r="E94" s="60">
        <f>(D94/C94)</f>
        <v>0.2916666666666667</v>
      </c>
      <c r="F94" s="90"/>
      <c r="G94" s="85"/>
      <c r="H94" s="67"/>
      <c r="I94" s="67"/>
      <c r="J94" s="67"/>
      <c r="K94" s="67"/>
      <c r="L94" s="67"/>
      <c r="M94" s="67"/>
      <c r="N94" s="67"/>
    </row>
    <row r="95" spans="1:14" s="37" customFormat="1" ht="22.5" customHeight="1">
      <c r="A95" s="11">
        <v>6657</v>
      </c>
      <c r="B95" s="11" t="s">
        <v>58</v>
      </c>
      <c r="C95" s="27">
        <v>1200000</v>
      </c>
      <c r="D95" s="27"/>
      <c r="E95" s="60">
        <f>(D95/C95)</f>
        <v>0</v>
      </c>
      <c r="F95" s="90"/>
      <c r="G95" s="85"/>
      <c r="H95" s="67"/>
      <c r="I95" s="67"/>
      <c r="J95" s="67"/>
      <c r="K95" s="67"/>
      <c r="L95" s="67"/>
      <c r="M95" s="67"/>
      <c r="N95" s="67"/>
    </row>
    <row r="96" spans="1:14" s="37" customFormat="1" ht="22.5" customHeight="1">
      <c r="A96" s="11">
        <v>6699</v>
      </c>
      <c r="B96" s="11" t="s">
        <v>59</v>
      </c>
      <c r="C96" s="27">
        <v>2040000</v>
      </c>
      <c r="D96" s="27">
        <v>1550000</v>
      </c>
      <c r="E96" s="60">
        <f>(D96/C96)</f>
        <v>0.7598039215686274</v>
      </c>
      <c r="F96" s="90"/>
      <c r="G96" s="85"/>
      <c r="H96" s="67"/>
      <c r="I96" s="67"/>
      <c r="J96" s="67"/>
      <c r="K96" s="67"/>
      <c r="L96" s="67"/>
      <c r="M96" s="67"/>
      <c r="N96" s="67"/>
    </row>
    <row r="97" spans="1:14" s="37" customFormat="1" ht="22.5" customHeight="1">
      <c r="A97" s="18">
        <v>6700</v>
      </c>
      <c r="B97" s="18" t="s">
        <v>60</v>
      </c>
      <c r="C97" s="13">
        <f>SUM(C98:C102)</f>
        <v>84000000</v>
      </c>
      <c r="D97" s="13">
        <f>SUM(D98:D102)</f>
        <v>62674000</v>
      </c>
      <c r="E97" s="102">
        <f>SUM(E98:E102)</f>
        <v>3.522723011043498</v>
      </c>
      <c r="F97" s="91">
        <f>G97/D97</f>
        <v>1.261144972396847</v>
      </c>
      <c r="G97" s="85">
        <v>79041000</v>
      </c>
      <c r="H97" s="67"/>
      <c r="I97" s="67"/>
      <c r="J97" s="67"/>
      <c r="K97" s="67"/>
      <c r="L97" s="67"/>
      <c r="M97" s="67"/>
      <c r="N97" s="67"/>
    </row>
    <row r="98" spans="1:14" s="37" customFormat="1" ht="22.5" customHeight="1">
      <c r="A98" s="11">
        <v>6701</v>
      </c>
      <c r="B98" s="11" t="s">
        <v>61</v>
      </c>
      <c r="C98" s="27">
        <f>28000000-2500000</f>
        <v>25500000</v>
      </c>
      <c r="D98" s="72">
        <v>13790000</v>
      </c>
      <c r="E98" s="60">
        <f>(D98/C98)</f>
        <v>0.5407843137254902</v>
      </c>
      <c r="F98" s="92"/>
      <c r="G98" s="85"/>
      <c r="H98" s="67"/>
      <c r="I98" s="67"/>
      <c r="J98" s="67"/>
      <c r="K98" s="67"/>
      <c r="L98" s="67"/>
      <c r="M98" s="67"/>
      <c r="N98" s="67"/>
    </row>
    <row r="99" spans="1:14" s="37" customFormat="1" ht="22.5" customHeight="1">
      <c r="A99" s="11">
        <v>6702</v>
      </c>
      <c r="B99" s="11" t="s">
        <v>62</v>
      </c>
      <c r="C99" s="27">
        <f>32000000-3000000</f>
        <v>29000000</v>
      </c>
      <c r="D99" s="72">
        <v>20034000</v>
      </c>
      <c r="E99" s="60">
        <f>(D99/C99)</f>
        <v>0.6908275862068965</v>
      </c>
      <c r="F99" s="92"/>
      <c r="G99" s="85"/>
      <c r="H99" s="67"/>
      <c r="I99" s="67"/>
      <c r="J99" s="67"/>
      <c r="K99" s="67"/>
      <c r="L99" s="67"/>
      <c r="M99" s="67"/>
      <c r="N99" s="67"/>
    </row>
    <row r="100" spans="1:14" s="37" customFormat="1" ht="22.5" customHeight="1">
      <c r="A100" s="11">
        <v>6703</v>
      </c>
      <c r="B100" s="11" t="s">
        <v>63</v>
      </c>
      <c r="C100" s="27">
        <f>9000000-1500000</f>
        <v>7500000</v>
      </c>
      <c r="D100" s="72">
        <v>8850000</v>
      </c>
      <c r="E100" s="60">
        <f>(D100/C100)</f>
        <v>1.18</v>
      </c>
      <c r="F100" s="92"/>
      <c r="G100" s="85"/>
      <c r="H100" s="67"/>
      <c r="I100" s="67"/>
      <c r="J100" s="67"/>
      <c r="K100" s="67"/>
      <c r="L100" s="67"/>
      <c r="M100" s="67"/>
      <c r="N100" s="67"/>
    </row>
    <row r="101" spans="1:14" s="37" customFormat="1" ht="22.5" customHeight="1">
      <c r="A101" s="11">
        <v>6704</v>
      </c>
      <c r="B101" s="11" t="s">
        <v>64</v>
      </c>
      <c r="C101" s="27">
        <v>18000000</v>
      </c>
      <c r="D101" s="72">
        <v>20000000</v>
      </c>
      <c r="E101" s="60">
        <f>(D101/C101)</f>
        <v>1.1111111111111112</v>
      </c>
      <c r="F101" s="92"/>
      <c r="G101" s="85"/>
      <c r="H101" s="67"/>
      <c r="I101" s="67"/>
      <c r="J101" s="67"/>
      <c r="K101" s="67"/>
      <c r="L101" s="67"/>
      <c r="M101" s="67"/>
      <c r="N101" s="67"/>
    </row>
    <row r="102" spans="1:14" s="37" customFormat="1" ht="22.5" customHeight="1">
      <c r="A102" s="11">
        <v>6749</v>
      </c>
      <c r="B102" s="11" t="s">
        <v>65</v>
      </c>
      <c r="C102" s="27">
        <v>4000000</v>
      </c>
      <c r="D102" s="72"/>
      <c r="E102" s="60">
        <f>(D102/C102)</f>
        <v>0</v>
      </c>
      <c r="F102" s="92"/>
      <c r="G102" s="85"/>
      <c r="H102" s="67"/>
      <c r="I102" s="67"/>
      <c r="J102" s="67"/>
      <c r="K102" s="67"/>
      <c r="L102" s="67"/>
      <c r="M102" s="67"/>
      <c r="N102" s="67"/>
    </row>
    <row r="103" spans="1:14" s="39" customFormat="1" ht="22.5" customHeight="1">
      <c r="A103" s="21">
        <v>6750</v>
      </c>
      <c r="B103" s="21" t="s">
        <v>86</v>
      </c>
      <c r="C103" s="13">
        <f>SUM(C104:C106)</f>
        <v>108076600</v>
      </c>
      <c r="D103" s="13">
        <f>SUM(D104:D106)</f>
        <v>95143600</v>
      </c>
      <c r="E103" s="102">
        <f>SUM(E104:E106)</f>
        <v>1.8348765758066812</v>
      </c>
      <c r="F103" s="91">
        <f>G103/D103</f>
        <v>1.0269571468811354</v>
      </c>
      <c r="G103" s="87">
        <v>97708400</v>
      </c>
      <c r="H103" s="68"/>
      <c r="I103" s="68"/>
      <c r="J103" s="68"/>
      <c r="K103" s="68"/>
      <c r="L103" s="68"/>
      <c r="M103" s="68"/>
      <c r="N103" s="68"/>
    </row>
    <row r="104" spans="1:14" s="39" customFormat="1" ht="22.5" customHeight="1">
      <c r="A104" s="11">
        <v>6751</v>
      </c>
      <c r="B104" s="11" t="s">
        <v>117</v>
      </c>
      <c r="C104" s="27">
        <v>6500000</v>
      </c>
      <c r="D104" s="27"/>
      <c r="E104" s="60">
        <f>(D104/C104)</f>
        <v>0</v>
      </c>
      <c r="F104" s="92"/>
      <c r="G104" s="87"/>
      <c r="H104" s="68"/>
      <c r="I104" s="68"/>
      <c r="J104" s="68"/>
      <c r="K104" s="68"/>
      <c r="L104" s="68"/>
      <c r="M104" s="68"/>
      <c r="N104" s="68"/>
    </row>
    <row r="105" spans="1:14" s="37" customFormat="1" ht="22.5" customHeight="1">
      <c r="A105" s="11">
        <v>6757</v>
      </c>
      <c r="B105" s="11" t="s">
        <v>97</v>
      </c>
      <c r="C105" s="27">
        <v>65504400</v>
      </c>
      <c r="D105" s="72">
        <v>64443600</v>
      </c>
      <c r="E105" s="60">
        <f>(D105/C105)</f>
        <v>0.9838056680161943</v>
      </c>
      <c r="F105" s="92"/>
      <c r="G105" s="85"/>
      <c r="H105" s="67"/>
      <c r="I105" s="67"/>
      <c r="J105" s="67"/>
      <c r="K105" s="67"/>
      <c r="L105" s="67"/>
      <c r="M105" s="67"/>
      <c r="N105" s="67"/>
    </row>
    <row r="106" spans="1:14" s="37" customFormat="1" ht="22.5" customHeight="1">
      <c r="A106" s="11">
        <v>6799</v>
      </c>
      <c r="B106" s="11" t="s">
        <v>98</v>
      </c>
      <c r="C106" s="27">
        <v>36072200</v>
      </c>
      <c r="D106" s="72">
        <v>30700000</v>
      </c>
      <c r="E106" s="60">
        <f>(D106/C106)</f>
        <v>0.8510709077904869</v>
      </c>
      <c r="F106" s="92"/>
      <c r="G106" s="85"/>
      <c r="H106" s="67"/>
      <c r="I106" s="67"/>
      <c r="J106" s="67"/>
      <c r="K106" s="67"/>
      <c r="L106" s="67"/>
      <c r="M106" s="67"/>
      <c r="N106" s="67"/>
    </row>
    <row r="107" spans="1:14" s="37" customFormat="1" ht="22.5" customHeight="1">
      <c r="A107" s="28">
        <v>6900</v>
      </c>
      <c r="B107" s="18" t="s">
        <v>66</v>
      </c>
      <c r="C107" s="13">
        <f>SUM(C108:C113)</f>
        <v>98200000</v>
      </c>
      <c r="D107" s="13">
        <f>SUM(D108:D113)</f>
        <v>71687500</v>
      </c>
      <c r="E107" s="102">
        <f>SUM(E108:E113)</f>
        <v>4.3206213822194455</v>
      </c>
      <c r="F107" s="91">
        <f>G107/D107</f>
        <v>1.3563103748910201</v>
      </c>
      <c r="G107" s="85">
        <v>97230500</v>
      </c>
      <c r="H107" s="67"/>
      <c r="I107" s="67"/>
      <c r="J107" s="67"/>
      <c r="K107" s="67"/>
      <c r="L107" s="67"/>
      <c r="M107" s="67"/>
      <c r="N107" s="67"/>
    </row>
    <row r="108" spans="1:14" s="37" customFormat="1" ht="22.5" customHeight="1">
      <c r="A108" s="43">
        <v>6905</v>
      </c>
      <c r="B108" s="11" t="s">
        <v>100</v>
      </c>
      <c r="C108" s="27">
        <v>12200000</v>
      </c>
      <c r="D108" s="27">
        <v>9295000</v>
      </c>
      <c r="E108" s="60">
        <f aca="true" t="shared" si="0" ref="E108:E113">(D108/C108)</f>
        <v>0.7618852459016393</v>
      </c>
      <c r="F108" s="92"/>
      <c r="G108" s="85"/>
      <c r="H108" s="67"/>
      <c r="I108" s="67"/>
      <c r="J108" s="67"/>
      <c r="K108" s="67"/>
      <c r="L108" s="67"/>
      <c r="M108" s="67"/>
      <c r="N108" s="67"/>
    </row>
    <row r="109" spans="1:14" s="37" customFormat="1" ht="24.75" customHeight="1">
      <c r="A109" s="43">
        <v>6907</v>
      </c>
      <c r="B109" s="11" t="s">
        <v>101</v>
      </c>
      <c r="C109" s="27">
        <v>9000000</v>
      </c>
      <c r="D109" s="27">
        <v>7452500</v>
      </c>
      <c r="E109" s="60">
        <f t="shared" si="0"/>
        <v>0.8280555555555555</v>
      </c>
      <c r="F109" s="92"/>
      <c r="G109" s="85"/>
      <c r="H109" s="67"/>
      <c r="I109" s="67"/>
      <c r="J109" s="67"/>
      <c r="K109" s="67"/>
      <c r="L109" s="67"/>
      <c r="M109" s="67"/>
      <c r="N109" s="67"/>
    </row>
    <row r="110" spans="1:14" s="37" customFormat="1" ht="24.75" customHeight="1">
      <c r="A110" s="11">
        <v>6912</v>
      </c>
      <c r="B110" s="11" t="s">
        <v>67</v>
      </c>
      <c r="C110" s="27">
        <v>19000000</v>
      </c>
      <c r="D110" s="72">
        <v>17760000</v>
      </c>
      <c r="E110" s="60">
        <f t="shared" si="0"/>
        <v>0.9347368421052632</v>
      </c>
      <c r="F110" s="92"/>
      <c r="G110" s="85"/>
      <c r="H110" s="67"/>
      <c r="I110" s="67"/>
      <c r="J110" s="67"/>
      <c r="K110" s="67"/>
      <c r="L110" s="67"/>
      <c r="M110" s="67"/>
      <c r="N110" s="67"/>
    </row>
    <row r="111" spans="1:14" s="37" customFormat="1" ht="24.75" customHeight="1">
      <c r="A111" s="11">
        <v>6913</v>
      </c>
      <c r="B111" s="11" t="s">
        <v>68</v>
      </c>
      <c r="C111" s="27">
        <v>10000000</v>
      </c>
      <c r="D111" s="72">
        <v>3950000</v>
      </c>
      <c r="E111" s="60">
        <f t="shared" si="0"/>
        <v>0.395</v>
      </c>
      <c r="F111" s="92"/>
      <c r="G111" s="85"/>
      <c r="H111" s="67"/>
      <c r="I111" s="67"/>
      <c r="J111" s="67"/>
      <c r="K111" s="67"/>
      <c r="L111" s="67"/>
      <c r="M111" s="67"/>
      <c r="N111" s="67"/>
    </row>
    <row r="112" spans="1:14" s="37" customFormat="1" ht="24.75" customHeight="1">
      <c r="A112" s="11">
        <v>6921</v>
      </c>
      <c r="B112" s="11" t="s">
        <v>168</v>
      </c>
      <c r="C112" s="27">
        <v>19000000</v>
      </c>
      <c r="D112" s="72">
        <v>14055000</v>
      </c>
      <c r="E112" s="60">
        <f t="shared" si="0"/>
        <v>0.7397368421052631</v>
      </c>
      <c r="F112" s="90"/>
      <c r="G112" s="85"/>
      <c r="H112" s="67"/>
      <c r="I112" s="67"/>
      <c r="J112" s="67"/>
      <c r="K112" s="67"/>
      <c r="L112" s="67"/>
      <c r="M112" s="67"/>
      <c r="N112" s="67"/>
    </row>
    <row r="113" spans="1:14" s="37" customFormat="1" ht="35.25" customHeight="1">
      <c r="A113" s="11">
        <v>6949</v>
      </c>
      <c r="B113" s="29" t="s">
        <v>167</v>
      </c>
      <c r="C113" s="27">
        <v>29000000</v>
      </c>
      <c r="D113" s="72">
        <v>19175000</v>
      </c>
      <c r="E113" s="60">
        <f t="shared" si="0"/>
        <v>0.6612068965517242</v>
      </c>
      <c r="F113" s="92"/>
      <c r="G113" s="85"/>
      <c r="H113" s="67"/>
      <c r="I113" s="67"/>
      <c r="J113" s="67"/>
      <c r="K113" s="67"/>
      <c r="L113" s="67"/>
      <c r="M113" s="67"/>
      <c r="N113" s="67"/>
    </row>
    <row r="114" spans="1:14" s="39" customFormat="1" ht="24" customHeight="1">
      <c r="A114" s="21">
        <v>6950</v>
      </c>
      <c r="B114" s="24" t="s">
        <v>118</v>
      </c>
      <c r="C114" s="49">
        <f>SUM(C115:C118)</f>
        <v>48446000</v>
      </c>
      <c r="D114" s="49">
        <f>SUM(D115:D118)</f>
        <v>0</v>
      </c>
      <c r="E114" s="49">
        <f>SUM(E115:E118)</f>
        <v>0</v>
      </c>
      <c r="F114" s="91"/>
      <c r="G114" s="87"/>
      <c r="H114" s="68"/>
      <c r="I114" s="68"/>
      <c r="J114" s="68"/>
      <c r="K114" s="68"/>
      <c r="L114" s="68"/>
      <c r="M114" s="68"/>
      <c r="N114" s="68"/>
    </row>
    <row r="115" spans="1:14" s="37" customFormat="1" ht="24" customHeight="1">
      <c r="A115" s="11">
        <v>6954</v>
      </c>
      <c r="B115" s="29" t="s">
        <v>119</v>
      </c>
      <c r="C115" s="27">
        <v>11833000</v>
      </c>
      <c r="D115" s="27"/>
      <c r="E115" s="60">
        <f aca="true" t="shared" si="1" ref="E115:E138">(D115/C115)</f>
        <v>0</v>
      </c>
      <c r="F115" s="92"/>
      <c r="G115" s="85"/>
      <c r="H115" s="67"/>
      <c r="I115" s="67"/>
      <c r="J115" s="67"/>
      <c r="K115" s="67"/>
      <c r="L115" s="67"/>
      <c r="M115" s="67"/>
      <c r="N115" s="67"/>
    </row>
    <row r="116" spans="1:14" s="37" customFormat="1" ht="24" customHeight="1">
      <c r="A116" s="11">
        <v>6955</v>
      </c>
      <c r="B116" s="29" t="s">
        <v>120</v>
      </c>
      <c r="C116" s="27">
        <v>9613000</v>
      </c>
      <c r="D116" s="27"/>
      <c r="E116" s="60">
        <f t="shared" si="1"/>
        <v>0</v>
      </c>
      <c r="F116" s="92"/>
      <c r="G116" s="85"/>
      <c r="H116" s="67"/>
      <c r="I116" s="67"/>
      <c r="J116" s="67"/>
      <c r="K116" s="67"/>
      <c r="L116" s="67"/>
      <c r="M116" s="67"/>
      <c r="N116" s="67"/>
    </row>
    <row r="117" spans="1:14" s="37" customFormat="1" ht="24" customHeight="1">
      <c r="A117" s="11">
        <v>6999</v>
      </c>
      <c r="B117" s="29" t="s">
        <v>122</v>
      </c>
      <c r="C117" s="27">
        <v>12000000</v>
      </c>
      <c r="D117" s="27"/>
      <c r="E117" s="60">
        <f t="shared" si="1"/>
        <v>0</v>
      </c>
      <c r="F117" s="92"/>
      <c r="G117" s="85"/>
      <c r="H117" s="67"/>
      <c r="I117" s="67"/>
      <c r="J117" s="67"/>
      <c r="K117" s="67"/>
      <c r="L117" s="67"/>
      <c r="M117" s="67"/>
      <c r="N117" s="67"/>
    </row>
    <row r="118" spans="1:14" s="37" customFormat="1" ht="24" customHeight="1">
      <c r="A118" s="11">
        <v>6999</v>
      </c>
      <c r="B118" s="29" t="s">
        <v>121</v>
      </c>
      <c r="C118" s="27">
        <v>15000000</v>
      </c>
      <c r="D118" s="27"/>
      <c r="E118" s="60">
        <f t="shared" si="1"/>
        <v>0</v>
      </c>
      <c r="F118" s="92"/>
      <c r="G118" s="85"/>
      <c r="H118" s="67"/>
      <c r="I118" s="67"/>
      <c r="J118" s="67"/>
      <c r="K118" s="67"/>
      <c r="L118" s="67"/>
      <c r="M118" s="67"/>
      <c r="N118" s="67"/>
    </row>
    <row r="119" spans="1:14" s="37" customFormat="1" ht="22.5" customHeight="1">
      <c r="A119" s="18">
        <v>7000</v>
      </c>
      <c r="B119" s="18" t="s">
        <v>70</v>
      </c>
      <c r="C119" s="13">
        <f>SUM(C120:C127)</f>
        <v>364279400</v>
      </c>
      <c r="D119" s="13">
        <f>SUM(D120:D126)</f>
        <v>254146702</v>
      </c>
      <c r="E119" s="102">
        <f>SUM(E120:E126)</f>
        <v>6.435201092965735</v>
      </c>
      <c r="F119" s="91">
        <f>G119/D119</f>
        <v>1.182252209591923</v>
      </c>
      <c r="G119" s="85">
        <v>300465500</v>
      </c>
      <c r="H119" s="67">
        <f>G119-D119</f>
        <v>46318798</v>
      </c>
      <c r="I119" s="67"/>
      <c r="J119" s="67"/>
      <c r="K119" s="67"/>
      <c r="L119" s="67"/>
      <c r="M119" s="67"/>
      <c r="N119" s="67"/>
    </row>
    <row r="120" spans="1:14" s="37" customFormat="1" ht="22.5" customHeight="1">
      <c r="A120" s="11">
        <v>7001</v>
      </c>
      <c r="B120" s="11" t="s">
        <v>158</v>
      </c>
      <c r="C120" s="27">
        <v>33156800</v>
      </c>
      <c r="D120" s="72">
        <v>32265702</v>
      </c>
      <c r="E120" s="60">
        <f t="shared" si="1"/>
        <v>0.9731247285624668</v>
      </c>
      <c r="F120" s="90"/>
      <c r="G120" s="85"/>
      <c r="H120" s="67"/>
      <c r="I120" s="67"/>
      <c r="J120" s="67"/>
      <c r="K120" s="67"/>
      <c r="L120" s="67"/>
      <c r="M120" s="67"/>
      <c r="N120" s="67"/>
    </row>
    <row r="121" spans="1:14" s="37" customFormat="1" ht="22.5" customHeight="1">
      <c r="A121" s="11">
        <v>7004</v>
      </c>
      <c r="B121" s="11" t="s">
        <v>159</v>
      </c>
      <c r="C121" s="27">
        <v>1820000</v>
      </c>
      <c r="D121" s="27">
        <v>1820000</v>
      </c>
      <c r="E121" s="60">
        <f t="shared" si="1"/>
        <v>1</v>
      </c>
      <c r="F121" s="90"/>
      <c r="G121" s="85"/>
      <c r="H121" s="67"/>
      <c r="I121" s="67"/>
      <c r="J121" s="67"/>
      <c r="K121" s="67"/>
      <c r="L121" s="67"/>
      <c r="M121" s="67"/>
      <c r="N121" s="67"/>
    </row>
    <row r="122" spans="1:14" s="37" customFormat="1" ht="36.75" customHeight="1">
      <c r="A122" s="11">
        <v>7012</v>
      </c>
      <c r="B122" s="29" t="s">
        <v>160</v>
      </c>
      <c r="C122" s="27">
        <v>7500000</v>
      </c>
      <c r="D122" s="72">
        <v>6680000</v>
      </c>
      <c r="E122" s="60">
        <f t="shared" si="1"/>
        <v>0.8906666666666667</v>
      </c>
      <c r="F122" s="90"/>
      <c r="G122" s="85"/>
      <c r="H122" s="67">
        <f>G122-C119</f>
        <v>-364279400</v>
      </c>
      <c r="I122" s="67"/>
      <c r="J122" s="67"/>
      <c r="K122" s="67"/>
      <c r="L122" s="67"/>
      <c r="M122" s="67"/>
      <c r="N122" s="67"/>
    </row>
    <row r="123" spans="1:14" s="37" customFormat="1" ht="22.5" customHeight="1">
      <c r="A123" s="30">
        <v>7049</v>
      </c>
      <c r="B123" s="11" t="s">
        <v>161</v>
      </c>
      <c r="C123" s="27">
        <v>37400000</v>
      </c>
      <c r="D123" s="72">
        <v>38000000</v>
      </c>
      <c r="E123" s="60">
        <f t="shared" si="1"/>
        <v>1.0160427807486632</v>
      </c>
      <c r="F123" s="90"/>
      <c r="G123" s="85"/>
      <c r="H123" s="67"/>
      <c r="I123" s="67"/>
      <c r="J123" s="67"/>
      <c r="K123" s="67"/>
      <c r="L123" s="67"/>
      <c r="M123" s="67"/>
      <c r="N123" s="67"/>
    </row>
    <row r="124" spans="1:14" s="37" customFormat="1" ht="22.5" customHeight="1">
      <c r="A124" s="30">
        <v>7049</v>
      </c>
      <c r="B124" s="11" t="s">
        <v>162</v>
      </c>
      <c r="C124" s="27">
        <v>67000000</v>
      </c>
      <c r="D124" s="72">
        <v>65000000</v>
      </c>
      <c r="E124" s="60">
        <f t="shared" si="1"/>
        <v>0.9701492537313433</v>
      </c>
      <c r="F124" s="92"/>
      <c r="G124" s="85"/>
      <c r="H124" s="67">
        <f>C119</f>
        <v>364279400</v>
      </c>
      <c r="I124" s="67">
        <f>H124-G124</f>
        <v>364279400</v>
      </c>
      <c r="J124" s="67"/>
      <c r="K124" s="67"/>
      <c r="L124" s="67"/>
      <c r="M124" s="67"/>
      <c r="N124" s="67"/>
    </row>
    <row r="125" spans="1:14" s="37" customFormat="1" ht="22.5" customHeight="1">
      <c r="A125" s="30">
        <v>7049</v>
      </c>
      <c r="B125" s="11" t="s">
        <v>163</v>
      </c>
      <c r="C125" s="27">
        <f>217802600-29176800-26300000</f>
        <v>162325800</v>
      </c>
      <c r="D125" s="72">
        <v>85381000</v>
      </c>
      <c r="E125" s="60">
        <f t="shared" si="1"/>
        <v>0.5259853948047691</v>
      </c>
      <c r="F125" s="94"/>
      <c r="G125" s="85"/>
      <c r="H125" s="67">
        <v>383702600</v>
      </c>
      <c r="I125" s="67"/>
      <c r="J125" s="67"/>
      <c r="K125" s="67"/>
      <c r="L125" s="67"/>
      <c r="M125" s="67"/>
      <c r="N125" s="67"/>
    </row>
    <row r="126" spans="1:14" s="37" customFormat="1" ht="22.5" customHeight="1">
      <c r="A126" s="30">
        <v>7049</v>
      </c>
      <c r="B126" s="11" t="s">
        <v>164</v>
      </c>
      <c r="C126" s="27">
        <f>69202000-10000000-3600000-15000000-17000000</f>
        <v>23602000</v>
      </c>
      <c r="D126" s="72">
        <v>25000000</v>
      </c>
      <c r="E126" s="60">
        <f t="shared" si="1"/>
        <v>1.059232268451826</v>
      </c>
      <c r="F126" s="94"/>
      <c r="G126" s="85"/>
      <c r="H126" s="67">
        <f>H125-C123-C124-C125-C126-C127</f>
        <v>61900000</v>
      </c>
      <c r="I126" s="67"/>
      <c r="J126" s="67"/>
      <c r="K126" s="67"/>
      <c r="L126" s="67"/>
      <c r="M126" s="67"/>
      <c r="N126" s="67"/>
    </row>
    <row r="127" spans="1:14" s="37" customFormat="1" ht="22.5" customHeight="1">
      <c r="A127" s="30">
        <v>7049</v>
      </c>
      <c r="B127" s="11" t="s">
        <v>129</v>
      </c>
      <c r="C127" s="27">
        <f>31474800</f>
        <v>31474800</v>
      </c>
      <c r="D127" s="72">
        <v>16500000</v>
      </c>
      <c r="E127" s="60">
        <f t="shared" si="1"/>
        <v>0.5242289069350718</v>
      </c>
      <c r="F127" s="94"/>
      <c r="G127" s="85"/>
      <c r="H127" s="67"/>
      <c r="I127" s="67"/>
      <c r="J127" s="67"/>
      <c r="K127" s="67"/>
      <c r="L127" s="67"/>
      <c r="M127" s="67"/>
      <c r="N127" s="67"/>
    </row>
    <row r="128" spans="1:14" s="37" customFormat="1" ht="22.5" customHeight="1">
      <c r="A128" s="18">
        <v>7750</v>
      </c>
      <c r="B128" s="18" t="s">
        <v>65</v>
      </c>
      <c r="C128" s="13">
        <f>SUM(C129:C132)</f>
        <v>100478000</v>
      </c>
      <c r="D128" s="13">
        <f>SUM(D129:D132)</f>
        <v>53248966</v>
      </c>
      <c r="E128" s="102">
        <f>SUM(E129:E132)</f>
        <v>2.0430397741249267</v>
      </c>
      <c r="F128" s="91"/>
      <c r="G128" s="85">
        <v>205269000</v>
      </c>
      <c r="H128" s="67"/>
      <c r="I128" s="67"/>
      <c r="J128" s="67"/>
      <c r="K128" s="67"/>
      <c r="L128" s="67"/>
      <c r="M128" s="67"/>
      <c r="N128" s="67"/>
    </row>
    <row r="129" spans="1:14" s="37" customFormat="1" ht="22.5" customHeight="1">
      <c r="A129" s="11">
        <v>7756</v>
      </c>
      <c r="B129" s="11" t="s">
        <v>165</v>
      </c>
      <c r="C129" s="27">
        <v>5888000</v>
      </c>
      <c r="D129" s="27">
        <v>2372200</v>
      </c>
      <c r="E129" s="60">
        <f t="shared" si="1"/>
        <v>0.4028872282608696</v>
      </c>
      <c r="F129" s="92"/>
      <c r="G129" s="85"/>
      <c r="H129" s="67"/>
      <c r="I129" s="67"/>
      <c r="J129" s="67"/>
      <c r="K129" s="67"/>
      <c r="L129" s="67"/>
      <c r="M129" s="67"/>
      <c r="N129" s="67"/>
    </row>
    <row r="130" spans="1:14" s="37" customFormat="1" ht="31.5" customHeight="1">
      <c r="A130" s="11">
        <v>7757</v>
      </c>
      <c r="B130" s="29" t="s">
        <v>139</v>
      </c>
      <c r="C130" s="27">
        <v>15000000</v>
      </c>
      <c r="D130" s="27">
        <v>11156766</v>
      </c>
      <c r="E130" s="60">
        <f t="shared" si="1"/>
        <v>0.7437844</v>
      </c>
      <c r="F130" s="92"/>
      <c r="G130" s="85"/>
      <c r="H130" s="67"/>
      <c r="I130" s="67"/>
      <c r="J130" s="67"/>
      <c r="K130" s="67"/>
      <c r="L130" s="67"/>
      <c r="M130" s="67"/>
      <c r="N130" s="67"/>
    </row>
    <row r="131" spans="1:14" s="37" customFormat="1" ht="22.5" customHeight="1">
      <c r="A131" s="11">
        <v>7761</v>
      </c>
      <c r="B131" s="11" t="s">
        <v>123</v>
      </c>
      <c r="C131" s="27">
        <v>5000000</v>
      </c>
      <c r="D131" s="27">
        <v>1950000</v>
      </c>
      <c r="E131" s="60">
        <f t="shared" si="1"/>
        <v>0.39</v>
      </c>
      <c r="F131" s="92"/>
      <c r="G131" s="85"/>
      <c r="H131" s="67"/>
      <c r="I131" s="67"/>
      <c r="J131" s="67"/>
      <c r="K131" s="67"/>
      <c r="L131" s="67"/>
      <c r="M131" s="67"/>
      <c r="N131" s="67"/>
    </row>
    <row r="132" spans="1:14" s="37" customFormat="1" ht="22.5" customHeight="1">
      <c r="A132" s="25">
        <v>7799</v>
      </c>
      <c r="B132" s="11" t="s">
        <v>129</v>
      </c>
      <c r="C132" s="27">
        <f>29500000+64050000-18960000</f>
        <v>74590000</v>
      </c>
      <c r="D132" s="27">
        <v>37770000</v>
      </c>
      <c r="E132" s="60">
        <f t="shared" si="1"/>
        <v>0.5063681458640569</v>
      </c>
      <c r="F132" s="92"/>
      <c r="G132" s="85"/>
      <c r="H132" s="67"/>
      <c r="I132" s="67"/>
      <c r="J132" s="67"/>
      <c r="K132" s="67"/>
      <c r="L132" s="67"/>
      <c r="M132" s="67"/>
      <c r="N132" s="67"/>
    </row>
    <row r="133" spans="1:14" s="37" customFormat="1" ht="35.25" customHeight="1">
      <c r="A133" s="128">
        <v>1.2</v>
      </c>
      <c r="B133" s="129" t="s">
        <v>5</v>
      </c>
      <c r="C133" s="138">
        <f>C134+C137+C139+C141+C144+C150</f>
        <v>1012422000</v>
      </c>
      <c r="D133" s="138">
        <f>D134+D137+D139+D141+D144+D150</f>
        <v>1004868719</v>
      </c>
      <c r="E133" s="139">
        <f>E134+E137+E139+E141+E144+E150</f>
        <v>7.8142213537128935</v>
      </c>
      <c r="F133" s="140">
        <f>G133/D133</f>
        <v>1.0068763330665487</v>
      </c>
      <c r="G133" s="101">
        <f>G134+G137+G139+G141+G144+G150</f>
        <v>1011778531</v>
      </c>
      <c r="H133" s="67">
        <v>209792759</v>
      </c>
      <c r="I133" s="67">
        <f>H133-D133</f>
        <v>-795075960</v>
      </c>
      <c r="J133" s="67"/>
      <c r="K133" s="67"/>
      <c r="L133" s="67"/>
      <c r="M133" s="67"/>
      <c r="N133" s="67"/>
    </row>
    <row r="134" spans="1:14" s="37" customFormat="1" ht="22.5" customHeight="1">
      <c r="A134" s="18">
        <v>6100</v>
      </c>
      <c r="B134" s="28" t="s">
        <v>35</v>
      </c>
      <c r="C134" s="101">
        <f>SUM(C135:C136)</f>
        <v>269000000</v>
      </c>
      <c r="D134" s="101">
        <f>SUM(D135:D136)</f>
        <v>294225263</v>
      </c>
      <c r="E134" s="60">
        <f t="shared" si="1"/>
        <v>1.0937742118959108</v>
      </c>
      <c r="F134" s="91"/>
      <c r="G134" s="85">
        <v>331512431</v>
      </c>
      <c r="H134" s="67"/>
      <c r="I134" s="67"/>
      <c r="J134" s="67"/>
      <c r="K134" s="67"/>
      <c r="L134" s="67"/>
      <c r="M134" s="67"/>
      <c r="N134" s="67"/>
    </row>
    <row r="135" spans="1:14" s="37" customFormat="1" ht="22.5" customHeight="1">
      <c r="A135" s="11">
        <v>6105</v>
      </c>
      <c r="B135" s="11" t="s">
        <v>78</v>
      </c>
      <c r="C135" s="12">
        <v>264000000</v>
      </c>
      <c r="D135" s="12">
        <v>263863062</v>
      </c>
      <c r="E135" s="60">
        <f t="shared" si="1"/>
        <v>0.9994812954545454</v>
      </c>
      <c r="F135" s="95"/>
      <c r="G135" s="85"/>
      <c r="H135" s="67"/>
      <c r="I135" s="67"/>
      <c r="J135" s="67"/>
      <c r="K135" s="67"/>
      <c r="L135" s="67"/>
      <c r="M135" s="67"/>
      <c r="N135" s="67"/>
    </row>
    <row r="136" spans="1:14" s="37" customFormat="1" ht="22.5" customHeight="1">
      <c r="A136" s="11">
        <v>6149</v>
      </c>
      <c r="B136" s="11" t="s">
        <v>99</v>
      </c>
      <c r="C136" s="12">
        <v>5000000</v>
      </c>
      <c r="D136" s="12">
        <v>30362201</v>
      </c>
      <c r="E136" s="60">
        <f t="shared" si="1"/>
        <v>6.0724402</v>
      </c>
      <c r="F136" s="95"/>
      <c r="G136" s="85"/>
      <c r="H136" s="67"/>
      <c r="I136" s="67"/>
      <c r="J136" s="67"/>
      <c r="K136" s="67"/>
      <c r="L136" s="67"/>
      <c r="M136" s="67"/>
      <c r="N136" s="67"/>
    </row>
    <row r="137" spans="1:14" s="37" customFormat="1" ht="22.5" customHeight="1">
      <c r="A137" s="18">
        <v>6400</v>
      </c>
      <c r="B137" s="44" t="s">
        <v>79</v>
      </c>
      <c r="C137" s="13">
        <f>SUM(C138:C138)</f>
        <v>78943680</v>
      </c>
      <c r="D137" s="13">
        <f>SUM(D138:D138)</f>
        <v>78522080</v>
      </c>
      <c r="E137" s="102">
        <f>SUM(E138:E138)</f>
        <v>0.9946594838244176</v>
      </c>
      <c r="F137" s="91">
        <f>G137/D137</f>
        <v>0.9211880276222942</v>
      </c>
      <c r="G137" s="85">
        <v>72333600</v>
      </c>
      <c r="H137" s="67"/>
      <c r="I137" s="67"/>
      <c r="J137" s="67"/>
      <c r="K137" s="67"/>
      <c r="L137" s="67"/>
      <c r="M137" s="67"/>
      <c r="N137" s="67"/>
    </row>
    <row r="138" spans="1:14" s="37" customFormat="1" ht="24.75" customHeight="1">
      <c r="A138" s="11">
        <v>6449</v>
      </c>
      <c r="B138" s="11" t="s">
        <v>124</v>
      </c>
      <c r="C138" s="27">
        <v>78943680</v>
      </c>
      <c r="D138" s="12">
        <v>78522080</v>
      </c>
      <c r="E138" s="60">
        <f t="shared" si="1"/>
        <v>0.9946594838244176</v>
      </c>
      <c r="F138" s="94"/>
      <c r="G138" s="85"/>
      <c r="H138" s="67"/>
      <c r="I138" s="67"/>
      <c r="J138" s="67"/>
      <c r="K138" s="67"/>
      <c r="L138" s="67"/>
      <c r="M138" s="67"/>
      <c r="N138" s="67"/>
    </row>
    <row r="139" spans="1:14" s="37" customFormat="1" ht="24.75" customHeight="1">
      <c r="A139" s="45" t="s">
        <v>85</v>
      </c>
      <c r="B139" s="18" t="s">
        <v>86</v>
      </c>
      <c r="C139" s="13">
        <f>SUM(C140)</f>
        <v>11100000</v>
      </c>
      <c r="D139" s="13">
        <f>SUM(D140)</f>
        <v>0</v>
      </c>
      <c r="E139" s="59"/>
      <c r="F139" s="91"/>
      <c r="G139" s="85">
        <v>3080000</v>
      </c>
      <c r="H139" s="67"/>
      <c r="I139" s="67"/>
      <c r="J139" s="67"/>
      <c r="K139" s="67"/>
      <c r="L139" s="67"/>
      <c r="M139" s="67"/>
      <c r="N139" s="67"/>
    </row>
    <row r="140" spans="1:14" s="37" customFormat="1" ht="24.75" customHeight="1">
      <c r="A140" s="11">
        <v>6758</v>
      </c>
      <c r="B140" s="11" t="s">
        <v>80</v>
      </c>
      <c r="C140" s="74">
        <v>11100000</v>
      </c>
      <c r="D140" s="12"/>
      <c r="E140" s="60">
        <f>(D140/C140)</f>
        <v>0</v>
      </c>
      <c r="F140" s="90"/>
      <c r="G140" s="85"/>
      <c r="H140" s="67"/>
      <c r="I140" s="67"/>
      <c r="J140" s="67"/>
      <c r="K140" s="67"/>
      <c r="L140" s="67"/>
      <c r="M140" s="67"/>
      <c r="N140" s="67"/>
    </row>
    <row r="141" spans="1:14" s="37" customFormat="1" ht="24.75" customHeight="1">
      <c r="A141" s="18">
        <v>7000</v>
      </c>
      <c r="B141" s="18" t="s">
        <v>81</v>
      </c>
      <c r="C141" s="13">
        <f>C142+C143</f>
        <v>10438320</v>
      </c>
      <c r="D141" s="13">
        <f>D142+D143</f>
        <v>1800000</v>
      </c>
      <c r="E141" s="102">
        <f>E142+E143</f>
        <v>1</v>
      </c>
      <c r="F141" s="91"/>
      <c r="G141" s="85">
        <v>228800000</v>
      </c>
      <c r="H141" s="67"/>
      <c r="I141" s="67"/>
      <c r="J141" s="67"/>
      <c r="K141" s="67"/>
      <c r="L141" s="67"/>
      <c r="M141" s="67"/>
      <c r="N141" s="67"/>
    </row>
    <row r="142" spans="1:14" s="37" customFormat="1" ht="24.75" customHeight="1">
      <c r="A142" s="11">
        <v>7004</v>
      </c>
      <c r="B142" s="11" t="s">
        <v>82</v>
      </c>
      <c r="C142" s="27">
        <v>1800000</v>
      </c>
      <c r="D142" s="27">
        <v>1800000</v>
      </c>
      <c r="E142" s="60">
        <f>(D142/C142)</f>
        <v>1</v>
      </c>
      <c r="F142" s="90"/>
      <c r="G142" s="85"/>
      <c r="H142" s="67"/>
      <c r="I142" s="67"/>
      <c r="J142" s="67"/>
      <c r="K142" s="67"/>
      <c r="L142" s="67"/>
      <c r="M142" s="67"/>
      <c r="N142" s="67"/>
    </row>
    <row r="143" spans="1:14" s="37" customFormat="1" ht="24.75" customHeight="1">
      <c r="A143" s="11">
        <v>7049</v>
      </c>
      <c r="B143" s="11" t="s">
        <v>76</v>
      </c>
      <c r="C143" s="27">
        <v>8638320</v>
      </c>
      <c r="D143" s="27"/>
      <c r="E143" s="60">
        <f>(D143/C143)</f>
        <v>0</v>
      </c>
      <c r="F143" s="90"/>
      <c r="G143" s="85"/>
      <c r="H143" s="67"/>
      <c r="I143" s="67"/>
      <c r="J143" s="67"/>
      <c r="K143" s="67"/>
      <c r="L143" s="67"/>
      <c r="M143" s="67"/>
      <c r="N143" s="67"/>
    </row>
    <row r="144" spans="1:14" s="37" customFormat="1" ht="24.75" customHeight="1">
      <c r="A144" s="18">
        <v>7750</v>
      </c>
      <c r="B144" s="18" t="s">
        <v>65</v>
      </c>
      <c r="C144" s="13">
        <f>SUM(C145:C149)</f>
        <v>208800000</v>
      </c>
      <c r="D144" s="13">
        <f>SUM(D145:D149)</f>
        <v>196181376</v>
      </c>
      <c r="E144" s="59">
        <f>SUM(E145:E149)</f>
        <v>3.7257876579925653</v>
      </c>
      <c r="F144" s="91">
        <f>G144/D144</f>
        <v>1.2745985633213215</v>
      </c>
      <c r="G144" s="85">
        <v>250052500</v>
      </c>
      <c r="H144" s="67">
        <f>G144-C144</f>
        <v>41252500</v>
      </c>
      <c r="I144" s="67"/>
      <c r="J144" s="67"/>
      <c r="K144" s="67"/>
      <c r="L144" s="67"/>
      <c r="M144" s="67"/>
      <c r="N144" s="67"/>
    </row>
    <row r="145" spans="1:14" s="37" customFormat="1" ht="36.75" customHeight="1">
      <c r="A145" s="11">
        <v>7753</v>
      </c>
      <c r="B145" s="29" t="s">
        <v>137</v>
      </c>
      <c r="C145" s="27">
        <f>39000000</f>
        <v>39000000</v>
      </c>
      <c r="D145" s="13">
        <v>38944000</v>
      </c>
      <c r="E145" s="59"/>
      <c r="F145" s="91"/>
      <c r="G145" s="85"/>
      <c r="H145" s="67"/>
      <c r="I145" s="67"/>
      <c r="J145" s="67"/>
      <c r="K145" s="67"/>
      <c r="L145" s="67"/>
      <c r="M145" s="67"/>
      <c r="N145" s="67"/>
    </row>
    <row r="146" spans="1:14" s="37" customFormat="1" ht="28.5" customHeight="1">
      <c r="A146" s="11">
        <v>7799</v>
      </c>
      <c r="B146" s="11" t="s">
        <v>126</v>
      </c>
      <c r="C146" s="27">
        <v>96000000</v>
      </c>
      <c r="D146" s="27">
        <v>96000000</v>
      </c>
      <c r="E146" s="60">
        <f>(D146/C146)</f>
        <v>1</v>
      </c>
      <c r="F146" s="94"/>
      <c r="G146" s="85"/>
      <c r="H146" s="67"/>
      <c r="I146" s="67"/>
      <c r="J146" s="67"/>
      <c r="K146" s="67"/>
      <c r="L146" s="67"/>
      <c r="M146" s="67"/>
      <c r="N146" s="67"/>
    </row>
    <row r="147" spans="1:14" s="37" customFormat="1" ht="28.5" customHeight="1">
      <c r="A147" s="11">
        <v>7799</v>
      </c>
      <c r="B147" s="11" t="s">
        <v>83</v>
      </c>
      <c r="C147" s="27">
        <v>10000000</v>
      </c>
      <c r="D147" s="27">
        <v>9900000</v>
      </c>
      <c r="E147" s="60">
        <f>(D147/C147)</f>
        <v>0.99</v>
      </c>
      <c r="F147" s="94"/>
      <c r="G147" s="85"/>
      <c r="H147" s="67"/>
      <c r="I147" s="67"/>
      <c r="J147" s="67"/>
      <c r="K147" s="67"/>
      <c r="L147" s="67"/>
      <c r="M147" s="67"/>
      <c r="N147" s="67"/>
    </row>
    <row r="148" spans="1:14" s="37" customFormat="1" ht="28.5" customHeight="1">
      <c r="A148" s="11">
        <v>7799</v>
      </c>
      <c r="B148" s="11" t="s">
        <v>84</v>
      </c>
      <c r="C148" s="27">
        <v>10000000</v>
      </c>
      <c r="D148" s="27">
        <f>48*200000</f>
        <v>9600000</v>
      </c>
      <c r="E148" s="60">
        <f>(D148/C148)</f>
        <v>0.96</v>
      </c>
      <c r="F148" s="94"/>
      <c r="G148" s="85"/>
      <c r="H148" s="67"/>
      <c r="I148" s="67"/>
      <c r="J148" s="67"/>
      <c r="K148" s="67"/>
      <c r="L148" s="67"/>
      <c r="M148" s="67"/>
      <c r="N148" s="67"/>
    </row>
    <row r="149" spans="1:14" s="37" customFormat="1" ht="28.5" customHeight="1">
      <c r="A149" s="11">
        <v>7799</v>
      </c>
      <c r="B149" s="11" t="s">
        <v>131</v>
      </c>
      <c r="C149" s="27">
        <f>48000000+1800000-40261680+261680+44000000</f>
        <v>53800000</v>
      </c>
      <c r="D149" s="27">
        <v>41737376</v>
      </c>
      <c r="E149" s="60">
        <f>(D149/C149)</f>
        <v>0.7757876579925651</v>
      </c>
      <c r="F149" s="94"/>
      <c r="G149" s="85"/>
      <c r="H149" s="67"/>
      <c r="I149" s="67"/>
      <c r="J149" s="67"/>
      <c r="K149" s="67"/>
      <c r="L149" s="67"/>
      <c r="M149" s="67"/>
      <c r="N149" s="67"/>
    </row>
    <row r="150" spans="1:14" s="37" customFormat="1" ht="28.5" customHeight="1">
      <c r="A150" s="46">
        <v>6950</v>
      </c>
      <c r="B150" s="46" t="s">
        <v>127</v>
      </c>
      <c r="C150" s="13">
        <f>SUM(C151:C152)</f>
        <v>434140000</v>
      </c>
      <c r="D150" s="13">
        <f>SUM(D151:D152)</f>
        <v>434140000</v>
      </c>
      <c r="E150" s="59">
        <f>E151</f>
        <v>1</v>
      </c>
      <c r="F150" s="91">
        <f>G150/D150</f>
        <v>0.29022895840051594</v>
      </c>
      <c r="G150" s="85">
        <v>126000000</v>
      </c>
      <c r="H150" s="67"/>
      <c r="I150" s="67"/>
      <c r="J150" s="67"/>
      <c r="K150" s="67"/>
      <c r="L150" s="67"/>
      <c r="M150" s="67"/>
      <c r="N150" s="67"/>
    </row>
    <row r="151" spans="1:14" s="37" customFormat="1" ht="28.5" customHeight="1">
      <c r="A151" s="11">
        <v>6954</v>
      </c>
      <c r="B151" s="124" t="s">
        <v>178</v>
      </c>
      <c r="C151" s="27">
        <v>294000000</v>
      </c>
      <c r="D151" s="27">
        <v>294000000</v>
      </c>
      <c r="E151" s="60">
        <f>(D151/C151)</f>
        <v>1</v>
      </c>
      <c r="F151" s="90"/>
      <c r="G151" s="85"/>
      <c r="H151" s="67"/>
      <c r="I151" s="67"/>
      <c r="J151" s="67"/>
      <c r="K151" s="67"/>
      <c r="L151" s="67"/>
      <c r="M151" s="67"/>
      <c r="N151" s="67"/>
    </row>
    <row r="152" spans="1:14" s="37" customFormat="1" ht="28.5" customHeight="1">
      <c r="A152" s="11">
        <v>6954</v>
      </c>
      <c r="B152" s="124" t="s">
        <v>179</v>
      </c>
      <c r="C152" s="27">
        <v>140140000</v>
      </c>
      <c r="D152" s="27">
        <v>140140000</v>
      </c>
      <c r="E152" s="60">
        <f>(D152/C152)</f>
        <v>1</v>
      </c>
      <c r="F152" s="90"/>
      <c r="G152" s="85"/>
      <c r="H152" s="67"/>
      <c r="I152" s="67"/>
      <c r="J152" s="67"/>
      <c r="K152" s="67"/>
      <c r="L152" s="67"/>
      <c r="M152" s="67"/>
      <c r="N152" s="67"/>
    </row>
    <row r="153" spans="1:14" s="37" customFormat="1" ht="28.5" customHeight="1">
      <c r="A153" s="18">
        <v>7750</v>
      </c>
      <c r="B153" s="18" t="s">
        <v>180</v>
      </c>
      <c r="C153" s="13">
        <f>C154</f>
        <v>4500000</v>
      </c>
      <c r="D153" s="13">
        <f>D154</f>
        <v>4500000</v>
      </c>
      <c r="E153" s="62">
        <f>E154</f>
        <v>1</v>
      </c>
      <c r="F153" s="91">
        <f>G153/D153</f>
        <v>1</v>
      </c>
      <c r="G153" s="27">
        <v>4500000</v>
      </c>
      <c r="H153" s="67"/>
      <c r="I153" s="67"/>
      <c r="J153" s="67"/>
      <c r="K153" s="67"/>
      <c r="L153" s="67"/>
      <c r="M153" s="67"/>
      <c r="N153" s="67"/>
    </row>
    <row r="154" spans="1:14" s="37" customFormat="1" ht="32.25" customHeight="1">
      <c r="A154" s="11">
        <v>7799</v>
      </c>
      <c r="B154" s="127" t="s">
        <v>187</v>
      </c>
      <c r="C154" s="27">
        <v>4500000</v>
      </c>
      <c r="D154" s="27">
        <v>4500000</v>
      </c>
      <c r="E154" s="60">
        <f>(D154/C154)</f>
        <v>1</v>
      </c>
      <c r="F154" s="91"/>
      <c r="G154" s="27">
        <v>4500000</v>
      </c>
      <c r="H154" s="67"/>
      <c r="I154" s="67"/>
      <c r="J154" s="67"/>
      <c r="K154" s="67"/>
      <c r="L154" s="67"/>
      <c r="M154" s="67"/>
      <c r="N154" s="67"/>
    </row>
    <row r="155" spans="1:14" s="37" customFormat="1" ht="28.5" customHeight="1">
      <c r="A155" s="120"/>
      <c r="B155" s="125"/>
      <c r="C155" s="121"/>
      <c r="D155" s="121"/>
      <c r="E155" s="122"/>
      <c r="F155" s="123"/>
      <c r="G155" s="85"/>
      <c r="H155" s="67"/>
      <c r="I155" s="67"/>
      <c r="J155" s="67"/>
      <c r="K155" s="67"/>
      <c r="L155" s="67"/>
      <c r="M155" s="67"/>
      <c r="N155" s="67"/>
    </row>
    <row r="156" ht="15.75">
      <c r="A156" s="34"/>
    </row>
    <row r="157" spans="1:6" ht="15.75">
      <c r="A157" s="153"/>
      <c r="D157" s="154" t="s">
        <v>188</v>
      </c>
      <c r="E157" s="154"/>
      <c r="F157" s="154"/>
    </row>
    <row r="158" spans="1:6" ht="15.75">
      <c r="A158" s="153"/>
      <c r="D158" s="155" t="s">
        <v>29</v>
      </c>
      <c r="E158" s="155"/>
      <c r="F158" s="155"/>
    </row>
    <row r="159" spans="1:6" ht="15.75">
      <c r="A159" s="40"/>
      <c r="D159" s="171" t="s">
        <v>113</v>
      </c>
      <c r="E159" s="171"/>
      <c r="F159" s="171"/>
    </row>
    <row r="163" spans="4:6" ht="15.75">
      <c r="D163" s="151" t="s">
        <v>185</v>
      </c>
      <c r="E163" s="151"/>
      <c r="F163" s="151"/>
    </row>
  </sheetData>
  <sheetProtection/>
  <mergeCells count="23">
    <mergeCell ref="A1:F1"/>
    <mergeCell ref="A2:B2"/>
    <mergeCell ref="C2:F2"/>
    <mergeCell ref="A3:B3"/>
    <mergeCell ref="C3:F3"/>
    <mergeCell ref="C4:F4"/>
    <mergeCell ref="F11:F12"/>
    <mergeCell ref="A5:F5"/>
    <mergeCell ref="A6:F6"/>
    <mergeCell ref="A7:F7"/>
    <mergeCell ref="A8:F8"/>
    <mergeCell ref="A9:F9"/>
    <mergeCell ref="A10:F10"/>
    <mergeCell ref="A157:A158"/>
    <mergeCell ref="D157:F157"/>
    <mergeCell ref="D158:F158"/>
    <mergeCell ref="D159:F159"/>
    <mergeCell ref="D163:F163"/>
    <mergeCell ref="A11:A12"/>
    <mergeCell ref="B11:B12"/>
    <mergeCell ref="C11:C12"/>
    <mergeCell ref="D11:D12"/>
    <mergeCell ref="E11:E12"/>
  </mergeCells>
  <printOptions/>
  <pageMargins left="0.7086614173228347" right="0.31496062992125984" top="0.5511811023622047" bottom="0.35433070866141736"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TTC</cp:lastModifiedBy>
  <cp:lastPrinted>2021-04-25T06:22:33Z</cp:lastPrinted>
  <dcterms:created xsi:type="dcterms:W3CDTF">2012-05-07T01:08:45Z</dcterms:created>
  <dcterms:modified xsi:type="dcterms:W3CDTF">2022-10-12T02:54:16Z</dcterms:modified>
  <cp:category/>
  <cp:version/>
  <cp:contentType/>
  <cp:contentStatus/>
</cp:coreProperties>
</file>